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7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8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315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362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335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193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19311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340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31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391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1122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23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VI СОЗЫВ\СЕССИИ VI  СОЗЫВ\2023\44 сессия 17.03.2023\№ 245 уточнение\"/>
    </mc:Choice>
  </mc:AlternateContent>
  <xr:revisionPtr revIDLastSave="0" documentId="13_ncr:81_{CDA7FA5C-7A5D-4AEE-AB88-75E5FF8993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ункцион.структура" sheetId="1" r:id="rId1"/>
  </sheets>
  <definedNames>
    <definedName name="_xlnm._FilterDatabase" localSheetId="0" hidden="1">функцион.структура!$A$17:$F$629</definedName>
    <definedName name="Top" localSheetId="0">функцион.структура!#REF!</definedName>
    <definedName name="Z_02B23763_CCF3_495C_9383_5F95B52C6E4A_.wvu.FilterData" localSheetId="0" hidden="1">функцион.структура!$A$17:$H$622</definedName>
    <definedName name="Z_0884989D_CFB8_433E_9DC3_007A15F08787_.wvu.FilterData" localSheetId="0" hidden="1">функцион.структура!$A$17:$F$629</definedName>
    <definedName name="Z_0962258E_7FEC_45BB_9F6F_812DB142D7D3_.wvu.FilterData" localSheetId="0" hidden="1">функцион.структура!$A$17:$F$622</definedName>
    <definedName name="Z_0AC28E1E_2838_40D1_A185_A3C1D8D5DA55_.wvu.FilterData" localSheetId="0" hidden="1">функцион.структура!$A$17:$F$629</definedName>
    <definedName name="Z_0B991D03_3758_44AC_8590_7A983E8FECC7_.wvu.FilterData" localSheetId="0" hidden="1">функцион.структура!$A$17:$F$629</definedName>
    <definedName name="Z_1540E9CA_2997_4E1B_906E_94AE412FC846_.wvu.FilterData" localSheetId="0" hidden="1">функцион.структура!$A$17:$F$629</definedName>
    <definedName name="Z_2DDB525D_A756_4AF2_961D_1A48B45E104D_.wvu.FilterData" localSheetId="0" hidden="1">функцион.структура!$A$17:$F$629</definedName>
    <definedName name="Z_2DDB525D_A756_4AF2_961D_1A48B45E104D_.wvu.PrintArea" localSheetId="0" hidden="1">функцион.структура!$A$1:$F$622</definedName>
    <definedName name="Z_3786A3F3_7EB8_49B2_A04B_7A0E72AD1C7D_.wvu.FilterData" localSheetId="0" hidden="1">функцион.структура!$A$17:$H$622</definedName>
    <definedName name="Z_46268BFF_7767_41AD_8DD2_9220C9E060B5_.wvu.FilterData" localSheetId="0" hidden="1">функцион.структура!$A$17:$F$629</definedName>
    <definedName name="Z_46268BFF_7767_41AD_8DD2_9220C9E060B5_.wvu.PrintArea" localSheetId="0" hidden="1">функцион.структура!$A$1:$F$622</definedName>
    <definedName name="Z_4F4D8688_6AF1_4BB3_87B1_06F4D1FA8222_.wvu.FilterData" localSheetId="0" hidden="1">функцион.структура!$A$17:$F$629</definedName>
    <definedName name="Z_54B89DCF_F070_4BDE_9121_7C0B93C57FB3_.wvu.FilterData" localSheetId="0" hidden="1">функцион.структура!$A$17:$F$629</definedName>
    <definedName name="Z_5DFFD117_7452_4244_8154_2623D947165B_.wvu.FilterData" localSheetId="0" hidden="1">функцион.структура!$A$17:$F$629</definedName>
    <definedName name="Z_61A549A4_F123_4413_B321_2E14EC38E18A_.wvu.FilterData" localSheetId="0" hidden="1">функцион.структура!$A$17:$F$629</definedName>
    <definedName name="Z_629918FE_B1DF_464A_BF50_03D18729BC02_.wvu.FilterData" localSheetId="0" hidden="1">функцион.структура!$A$17:$F$629</definedName>
    <definedName name="Z_629918FE_B1DF_464A_BF50_03D18729BC02_.wvu.PrintArea" localSheetId="0" hidden="1">функцион.структура!$A$1:$F$622</definedName>
    <definedName name="Z_683736F1_FEF9_48A4_8C1A_A3E08645BD86_.wvu.FilterData" localSheetId="0" hidden="1">функцион.структура!$A$17:$F$622</definedName>
    <definedName name="Z_6C334063_1DB9_4CC2_A59B_3A4CBEDE88DC_.wvu.FilterData" localSheetId="0" hidden="1">функцион.структура!$A$17:$F$622</definedName>
    <definedName name="Z_70242F4D_CC02_4A64_8DD1_8AA5D37314E9_.wvu.FilterData" localSheetId="0" hidden="1">функцион.структура!$A$17:$F$622</definedName>
    <definedName name="Z_7D02A47D_1C14_45B8_9BEF_7CC191CB3095_.wvu.FilterData" localSheetId="0" hidden="1">функцион.структура!$A$17:$F$629</definedName>
    <definedName name="Z_97ABFCCB_6B5D_4655_BFFF_42DE8E1EC4AD_.wvu.FilterData" localSheetId="0" hidden="1">функцион.структура!$A$17:$F$629</definedName>
    <definedName name="Z_A2DC2F9F_1FF3_4527_AAF5_D77C44405D20_.wvu.FilterData" localSheetId="0" hidden="1">функцион.структура!$A$17:$F$629</definedName>
    <definedName name="Z_AE32E14C_C5CB_469A_8B6D_FF52230941EC_.wvu.FilterData" localSheetId="0" hidden="1">функцион.структура!$A$17:$F$629</definedName>
    <definedName name="Z_AE5A14C6_19BF_4DBB_9A88_2BA48047581A_.wvu.FilterData" localSheetId="0" hidden="1">функцион.структура!$A$17:$H$622</definedName>
    <definedName name="Z_D244472F_DEC4_47E1_80C0_F2E3BD029926_.wvu.FilterData" localSheetId="0" hidden="1">функцион.структура!$A$17:$F$629</definedName>
    <definedName name="Z_D3D2B5EF_65DD_4123_A9D7_F84BF8BF76CA_.wvu.FilterData" localSheetId="0" hidden="1">функцион.структура!$A$17:$H$622</definedName>
    <definedName name="Z_D82246B9_B8C4_4E65_9333_6334524B4A33_.wvu.FilterData" localSheetId="0" hidden="1">функцион.структура!$A$17:$F$622</definedName>
    <definedName name="Z_DBA1A761_865B_43C1_8622_38E19FD60981_.wvu.FilterData" localSheetId="0" hidden="1">функцион.структура!$A$17:$H$622</definedName>
    <definedName name="Z_F82B55DB_8F0F_48F4_856E_58CED3A2309D_.wvu.FilterData" localSheetId="0" hidden="1">функцион.структура!$A$17:$F$629</definedName>
    <definedName name="Z_FD4532BC_05F9_4AAE_A66F_97A31C19ACFF_.wvu.FilterData" localSheetId="0" hidden="1">функцион.структура!$A$17:$F$629</definedName>
    <definedName name="_xlnm.Print_Area" localSheetId="0">функцион.структура!$A$1:$F$622</definedName>
  </definedNames>
  <calcPr calcId="191029" refMode="R1C1"/>
  <customWorkbookViews>
    <customWorkbookView name="Пользователь - Личное представление" guid="{629918FE-B1DF-464A-BF50-03D18729BC02}" mergeInterval="0" personalView="1" maximized="1" xWindow="-8" yWindow="-8" windowWidth="1936" windowHeight="1056" activeSheetId="1"/>
    <customWorkbookView name="Ольга Владимировна - Личное представление" guid="{46268BFF-7767-41AD-8DD2-9220C9E060B5}" mergeInterval="0" personalView="1" maximized="1" xWindow="1" yWindow="1" windowWidth="1916" windowHeight="822" activeSheetId="1"/>
    <customWorkbookView name="User - Личное представление" guid="{2DDB525D-A756-4AF2-961D-1A48B45E104D}" mergeInterval="0" personalView="1" maximized="1" xWindow="1" yWindow="1" windowWidth="1916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5" i="1" l="1"/>
  <c r="F274" i="1" s="1"/>
  <c r="F278" i="1"/>
  <c r="F277" i="1" s="1"/>
  <c r="F625" i="1"/>
  <c r="F140" i="1"/>
  <c r="F620" i="1"/>
  <c r="F619" i="1" s="1"/>
  <c r="F617" i="1"/>
  <c r="F616" i="1" s="1"/>
  <c r="F615" i="1" s="1"/>
  <c r="F614" i="1" s="1"/>
  <c r="F582" i="1"/>
  <c r="F581" i="1" s="1"/>
  <c r="F577" i="1"/>
  <c r="F569" i="1"/>
  <c r="F557" i="1"/>
  <c r="F486" i="1"/>
  <c r="F484" i="1"/>
  <c r="F481" i="1"/>
  <c r="F480" i="1" s="1"/>
  <c r="F479" i="1" s="1"/>
  <c r="F476" i="1"/>
  <c r="F470" i="1"/>
  <c r="F468" i="1"/>
  <c r="F460" i="1"/>
  <c r="F458" i="1"/>
  <c r="F374" i="1"/>
  <c r="F363" i="1"/>
  <c r="F362" i="1" s="1"/>
  <c r="F341" i="1"/>
  <c r="F289" i="1"/>
  <c r="F288" i="1" s="1"/>
  <c r="F284" i="1"/>
  <c r="F281" i="1"/>
  <c r="F261" i="1"/>
  <c r="F249" i="1"/>
  <c r="F248" i="1" s="1"/>
  <c r="F613" i="1" l="1"/>
  <c r="F280" i="1"/>
  <c r="F273" i="1"/>
  <c r="F217" i="1" l="1"/>
  <c r="F216" i="1" s="1"/>
  <c r="F215" i="1" s="1"/>
  <c r="F138" i="1" l="1"/>
  <c r="F116" i="1"/>
  <c r="F115" i="1" s="1"/>
  <c r="F114" i="1" s="1"/>
  <c r="F113" i="1" s="1"/>
  <c r="F271" i="1"/>
  <c r="F270" i="1" s="1"/>
  <c r="F567" i="1"/>
  <c r="F566" i="1" s="1"/>
  <c r="F208" i="1" l="1"/>
  <c r="F552" i="1" l="1"/>
  <c r="F551" i="1" s="1"/>
  <c r="F550" i="1" s="1"/>
  <c r="F549" i="1" s="1"/>
  <c r="F451" i="1"/>
  <c r="F450" i="1" s="1"/>
  <c r="F448" i="1"/>
  <c r="F447" i="1" s="1"/>
  <c r="F445" i="1"/>
  <c r="F444" i="1" s="1"/>
  <c r="F352" i="1"/>
  <c r="F350" i="1"/>
  <c r="F347" i="1"/>
  <c r="F346" i="1" s="1"/>
  <c r="F255" i="1"/>
  <c r="F254" i="1" s="1"/>
  <c r="F253" i="1" s="1"/>
  <c r="F252" i="1" s="1"/>
  <c r="F204" i="1"/>
  <c r="F163" i="1"/>
  <c r="F155" i="1"/>
  <c r="F443" i="1" l="1"/>
  <c r="F442" i="1" s="1"/>
  <c r="F349" i="1"/>
  <c r="F345" i="1" s="1"/>
  <c r="F344" i="1" s="1"/>
  <c r="F146" i="1" l="1"/>
  <c r="F522" i="1" l="1"/>
  <c r="F529" i="1"/>
  <c r="F199" i="1" l="1"/>
  <c r="F224" i="1" l="1"/>
  <c r="F556" i="1" l="1"/>
  <c r="F555" i="1" s="1"/>
  <c r="F602" i="1" l="1"/>
  <c r="F601" i="1" s="1"/>
  <c r="F600" i="1" s="1"/>
  <c r="F599" i="1" s="1"/>
  <c r="F598" i="1" s="1"/>
  <c r="F597" i="1" s="1"/>
  <c r="F497" i="1"/>
  <c r="F591" i="1"/>
  <c r="F99" i="1" l="1"/>
  <c r="F44" i="1"/>
  <c r="F425" i="1"/>
  <c r="F421" i="1" s="1"/>
  <c r="F229" i="1"/>
  <c r="F90" i="1"/>
  <c r="F198" i="1" l="1"/>
  <c r="F197" i="1" s="1"/>
  <c r="F339" i="1"/>
  <c r="F307" i="1"/>
  <c r="F306" i="1" s="1"/>
  <c r="F430" i="1" l="1"/>
  <c r="F31" i="1" l="1"/>
  <c r="F321" i="1" l="1"/>
  <c r="F386" i="1"/>
  <c r="F325" i="1" l="1"/>
  <c r="F338" i="1" l="1"/>
  <c r="F334" i="1" l="1"/>
  <c r="F293" i="1" l="1"/>
  <c r="F292" i="1" s="1"/>
  <c r="F291" i="1" s="1"/>
  <c r="F287" i="1" s="1"/>
  <c r="F516" i="1"/>
  <c r="F515" i="1" s="1"/>
  <c r="F514" i="1" s="1"/>
  <c r="F329" i="1" l="1"/>
  <c r="F328" i="1" s="1"/>
  <c r="F265" i="1"/>
  <c r="F189" i="1" l="1"/>
  <c r="F85" i="1" l="1"/>
  <c r="F84" i="1" s="1"/>
  <c r="F83" i="1" s="1"/>
  <c r="F260" i="1" l="1"/>
  <c r="F259" i="1" s="1"/>
  <c r="F258" i="1" s="1"/>
  <c r="F238" i="1"/>
  <c r="F223" i="1"/>
  <c r="F102" i="1"/>
  <c r="F79" i="1"/>
  <c r="F542" i="1" l="1"/>
  <c r="F263" i="1" l="1"/>
  <c r="F121" i="1"/>
  <c r="F262" i="1" l="1"/>
  <c r="F251" i="1" s="1"/>
  <c r="F247" i="1"/>
  <c r="F401" i="1"/>
  <c r="F317" i="1"/>
  <c r="F303" i="1"/>
  <c r="F302" i="1" s="1"/>
  <c r="F212" i="1"/>
  <c r="F203" i="1" s="1"/>
  <c r="F98" i="1"/>
  <c r="F78" i="1"/>
  <c r="F563" i="1"/>
  <c r="F562" i="1" s="1"/>
  <c r="F561" i="1" s="1"/>
  <c r="F554" i="1" s="1"/>
  <c r="F548" i="1" s="1"/>
  <c r="F336" i="1"/>
  <c r="F333" i="1" s="1"/>
  <c r="F318" i="1"/>
  <c r="F128" i="1" l="1"/>
  <c r="F466" i="1"/>
  <c r="F65" i="1"/>
  <c r="F64" i="1" s="1"/>
  <c r="F402" i="1" l="1"/>
  <c r="F400" i="1"/>
  <c r="F201" i="1" l="1"/>
  <c r="F200" i="1" s="1"/>
  <c r="F202" i="1"/>
  <c r="F196" i="1"/>
  <c r="F195" i="1" s="1"/>
  <c r="F494" i="1"/>
  <c r="F462" i="1"/>
  <c r="F456" i="1"/>
  <c r="F455" i="1" l="1"/>
  <c r="F454" i="1" s="1"/>
  <c r="F492" i="1"/>
  <c r="F575" i="1" l="1"/>
  <c r="F304" i="1" l="1"/>
  <c r="F472" i="1" l="1"/>
  <c r="F465" i="1" s="1"/>
  <c r="F357" i="1"/>
  <c r="F464" i="1" l="1"/>
  <c r="F58" i="1"/>
  <c r="F331" i="1" l="1"/>
  <c r="F330" i="1" s="1"/>
  <c r="F579" i="1" l="1"/>
  <c r="F574" i="1" l="1"/>
  <c r="F573" i="1" s="1"/>
  <c r="F572" i="1" s="1"/>
  <c r="F571" i="1" s="1"/>
  <c r="F170" i="1" l="1"/>
  <c r="F169" i="1" s="1"/>
  <c r="F168" i="1" s="1"/>
  <c r="F157" i="1" l="1"/>
  <c r="F488" i="1" l="1"/>
  <c r="F483" i="1" s="1"/>
  <c r="F537" i="1"/>
  <c r="F391" i="1"/>
  <c r="F390" i="1" s="1"/>
  <c r="F389" i="1" s="1"/>
  <c r="F322" i="1" l="1"/>
  <c r="F588" i="1"/>
  <c r="F173" i="1"/>
  <c r="F175" i="1"/>
  <c r="F178" i="1"/>
  <c r="F180" i="1"/>
  <c r="F183" i="1"/>
  <c r="F185" i="1"/>
  <c r="F188" i="1"/>
  <c r="F145" i="1"/>
  <c r="F118" i="1"/>
  <c r="F143" i="1"/>
  <c r="F359" i="1"/>
  <c r="F356" i="1" s="1"/>
  <c r="F379" i="1"/>
  <c r="F378" i="1" s="1"/>
  <c r="F377" i="1" s="1"/>
  <c r="F300" i="1"/>
  <c r="F299" i="1" s="1"/>
  <c r="F314" i="1"/>
  <c r="F316" i="1"/>
  <c r="F324" i="1"/>
  <c r="F326" i="1"/>
  <c r="F320" i="1"/>
  <c r="F404" i="1"/>
  <c r="F395" i="1"/>
  <c r="F418" i="1"/>
  <c r="F416" i="1"/>
  <c r="F411" i="1"/>
  <c r="F410" i="1" s="1"/>
  <c r="F409" i="1" s="1"/>
  <c r="F435" i="1"/>
  <c r="F438" i="1"/>
  <c r="F437" i="1" s="1"/>
  <c r="F385" i="1"/>
  <c r="F384" i="1" s="1"/>
  <c r="F22" i="1"/>
  <c r="F21" i="1" s="1"/>
  <c r="F20" i="1" s="1"/>
  <c r="F37" i="1"/>
  <c r="F27" i="1"/>
  <c r="F43" i="1"/>
  <c r="F42" i="1" s="1"/>
  <c r="F52" i="1"/>
  <c r="F51" i="1" s="1"/>
  <c r="F50" i="1" s="1"/>
  <c r="F57" i="1"/>
  <c r="F56" i="1" s="1"/>
  <c r="F55" i="1" s="1"/>
  <c r="F54" i="1" s="1"/>
  <c r="F70" i="1"/>
  <c r="F68" i="1" s="1"/>
  <c r="F75" i="1"/>
  <c r="F74" i="1" s="1"/>
  <c r="F80" i="1"/>
  <c r="F77" i="1"/>
  <c r="F94" i="1"/>
  <c r="F97" i="1"/>
  <c r="F101" i="1"/>
  <c r="F100" i="1" s="1"/>
  <c r="F107" i="1"/>
  <c r="F106" i="1" s="1"/>
  <c r="F105" i="1" s="1"/>
  <c r="F111" i="1"/>
  <c r="F110" i="1" s="1"/>
  <c r="F109" i="1" s="1"/>
  <c r="F162" i="1"/>
  <c r="F161" i="1" s="1"/>
  <c r="F160" i="1" s="1"/>
  <c r="F159" i="1" s="1"/>
  <c r="F233" i="1"/>
  <c r="F232" i="1" s="1"/>
  <c r="F231" i="1" s="1"/>
  <c r="F237" i="1"/>
  <c r="F236" i="1" s="1"/>
  <c r="F235" i="1" s="1"/>
  <c r="F241" i="1"/>
  <c r="F240" i="1" s="1"/>
  <c r="F239" i="1" s="1"/>
  <c r="F244" i="1"/>
  <c r="F243" i="1" s="1"/>
  <c r="F228" i="1"/>
  <c r="F227" i="1" s="1"/>
  <c r="F226" i="1" s="1"/>
  <c r="F222" i="1"/>
  <c r="F221" i="1" s="1"/>
  <c r="F220" i="1" s="1"/>
  <c r="F269" i="1"/>
  <c r="F268" i="1" s="1"/>
  <c r="F267" i="1" s="1"/>
  <c r="F475" i="1"/>
  <c r="F474" i="1" s="1"/>
  <c r="F505" i="1"/>
  <c r="F504" i="1" s="1"/>
  <c r="F503" i="1" s="1"/>
  <c r="F511" i="1"/>
  <c r="F510" i="1" s="1"/>
  <c r="F509" i="1" s="1"/>
  <c r="F508" i="1" s="1"/>
  <c r="F519" i="1"/>
  <c r="F528" i="1"/>
  <c r="F527" i="1" s="1"/>
  <c r="F526" i="1" s="1"/>
  <c r="F525" i="1" s="1"/>
  <c r="F524" i="1" s="1"/>
  <c r="F521" i="1"/>
  <c r="F609" i="1"/>
  <c r="F611" i="1"/>
  <c r="F312" i="1"/>
  <c r="F81" i="1"/>
  <c r="F246" i="1" l="1"/>
  <c r="F219" i="1"/>
  <c r="F415" i="1"/>
  <c r="F311" i="1"/>
  <c r="F310" i="1" s="1"/>
  <c r="F309" i="1" s="1"/>
  <c r="F587" i="1"/>
  <c r="F586" i="1" s="1"/>
  <c r="F518" i="1"/>
  <c r="F513" i="1" s="1"/>
  <c r="F453" i="1"/>
  <c r="F441" i="1" s="1"/>
  <c r="F172" i="1"/>
  <c r="F167" i="1" s="1"/>
  <c r="F298" i="1"/>
  <c r="F19" i="1"/>
  <c r="F41" i="1"/>
  <c r="F434" i="1"/>
  <c r="F433" i="1" s="1"/>
  <c r="F493" i="1"/>
  <c r="F383" i="1"/>
  <c r="F30" i="1"/>
  <c r="F26" i="1" s="1"/>
  <c r="F230" i="1"/>
  <c r="F89" i="1"/>
  <c r="F88" i="1" s="1"/>
  <c r="F87" i="1" s="1"/>
  <c r="F371" i="1"/>
  <c r="F133" i="1"/>
  <c r="F123" i="1"/>
  <c r="F393" i="1"/>
  <c r="F388" i="1" s="1"/>
  <c r="F394" i="1"/>
  <c r="F69" i="1"/>
  <c r="F532" i="1"/>
  <c r="F368" i="1"/>
  <c r="F399" i="1"/>
  <c r="F398" i="1" s="1"/>
  <c r="F397" i="1" s="1"/>
  <c r="F608" i="1"/>
  <c r="F607" i="1" s="1"/>
  <c r="F606" i="1" s="1"/>
  <c r="F605" i="1" s="1"/>
  <c r="F604" i="1" s="1"/>
  <c r="F73" i="1"/>
  <c r="F214" i="1" l="1"/>
  <c r="F166" i="1" s="1"/>
  <c r="F367" i="1"/>
  <c r="F366" i="1" s="1"/>
  <c r="F365" i="1" s="1"/>
  <c r="F361" i="1" s="1"/>
  <c r="F117" i="1"/>
  <c r="F72" i="1" s="1"/>
  <c r="F297" i="1"/>
  <c r="F296" i="1" s="1"/>
  <c r="F25" i="1"/>
  <c r="F585" i="1"/>
  <c r="F584" i="1" s="1"/>
  <c r="F547" i="1" s="1"/>
  <c r="F414" i="1"/>
  <c r="F408" i="1" s="1"/>
  <c r="F407" i="1" s="1"/>
  <c r="F387" i="1"/>
  <c r="F382" i="1"/>
  <c r="F381" i="1" s="1"/>
  <c r="F491" i="1"/>
  <c r="F355" i="1"/>
  <c r="F531" i="1"/>
  <c r="F530" i="1" s="1"/>
  <c r="F507" i="1" s="1"/>
  <c r="F354" i="1" l="1"/>
  <c r="F343" i="1" s="1"/>
  <c r="F340" i="1" s="1"/>
  <c r="F308" i="1" s="1"/>
  <c r="F490" i="1"/>
  <c r="F440" i="1" s="1"/>
  <c r="F18" i="1"/>
  <c r="F295" i="1" l="1"/>
  <c r="F622" i="1" s="1"/>
  <c r="F627" i="1" l="1"/>
</calcChain>
</file>

<file path=xl/sharedStrings.xml><?xml version="1.0" encoding="utf-8"?>
<sst xmlns="http://schemas.openxmlformats.org/spreadsheetml/2006/main" count="2624" uniqueCount="610">
  <si>
    <t>Муниципальная программа «Поддержка сельских и городских инициатив в Селенгинском районе на 2020-2024 годы»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</si>
  <si>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</si>
  <si>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</si>
  <si>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</si>
  <si>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</si>
  <si>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</si>
  <si>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</si>
  <si>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</si>
  <si>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</si>
  <si>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</si>
  <si>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</si>
  <si>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</si>
  <si>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</si>
  <si>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</si>
  <si>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</si>
  <si>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</si>
  <si>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</si>
  <si>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</si>
  <si>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</si>
  <si>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</si>
  <si>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</si>
  <si>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</si>
  <si>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</si>
  <si>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</si>
  <si>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МП «Развитие образования в Селенгинском районе на 2020-2024 годы"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</si>
  <si>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</si>
  <si>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</si>
  <si>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</si>
  <si>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</si>
  <si>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</si>
  <si>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</si>
  <si>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</si>
  <si>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</si>
  <si>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</si>
  <si>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</si>
  <si>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</si>
  <si>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</si>
  <si>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</si>
  <si>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</si>
  <si>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</si>
  <si>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</si>
  <si>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</si>
  <si>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</si>
  <si>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</si>
  <si>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</si>
  <si>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</si>
  <si>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</si>
  <si>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</si>
  <si>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</si>
  <si>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Основное мероприятие "Профилактика преступлений и иных правонарушений в Селенгинском районе"</t>
  </si>
  <si>
    <t xml:space="preserve">Профилактика преступлений и иных правонарушений </t>
  </si>
  <si>
    <t>07300 00000</t>
  </si>
  <si>
    <t>07301 00000</t>
  </si>
  <si>
    <t>07301 S2660</t>
  </si>
  <si>
    <t>07301  S2660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</si>
  <si>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</si>
  <si>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</si>
  <si>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</si>
  <si>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</si>
  <si>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</si>
  <si>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</si>
  <si>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</si>
  <si>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</si>
  <si>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</si>
  <si>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</si>
  <si>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</si>
  <si>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</si>
  <si>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</si>
  <si>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</si>
  <si>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</si>
  <si>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</si>
  <si>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</si>
  <si>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</si>
  <si>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</si>
  <si>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</si>
  <si>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</si>
  <si>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</si>
  <si>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</si>
  <si>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</si>
  <si>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</si>
  <si>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</si>
  <si>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</si>
  <si>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</si>
  <si>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</si>
  <si>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</si>
  <si>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</si>
  <si>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</si>
  <si>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</si>
  <si>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</si>
  <si>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</si>
  <si>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</si>
  <si>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</si>
  <si>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</si>
  <si>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</si>
  <si>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</si>
  <si>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</si>
  <si>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</si>
  <si>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</si>
  <si>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</si>
  <si>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</si>
  <si>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</si>
  <si>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</si>
  <si>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</si>
  <si>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</si>
  <si>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</si>
  <si>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</si>
  <si>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</si>
  <si>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</si>
  <si>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</si>
  <si>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</si>
  <si>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</si>
  <si>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</si>
  <si>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</si>
  <si>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</si>
  <si>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</si>
  <si>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</si>
  <si>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</si>
  <si>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</si>
  <si>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</si>
  <si>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</si>
  <si>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</si>
  <si>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</si>
  <si>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</si>
  <si>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</si>
  <si>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</si>
  <si>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</si>
  <si>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</si>
  <si>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</si>
  <si>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</si>
  <si>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</si>
  <si>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</si>
  <si>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</si>
  <si>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</si>
  <si>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</si>
  <si>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</si>
  <si>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</si>
  <si>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</si>
  <si>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</si>
  <si>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</si>
  <si>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</si>
  <si>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</si>
  <si>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</si>
  <si>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</si>
  <si>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</si>
  <si>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</si>
  <si>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</si>
  <si>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</si>
  <si>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</si>
  <si>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</si>
  <si>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</si>
  <si>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</si>
  <si>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</si>
  <si>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</si>
  <si>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</si>
  <si>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</si>
  <si>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</si>
  <si>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</si>
  <si>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</si>
  <si>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</si>
  <si>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</si>
  <si>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</si>
  <si>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</si>
  <si>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</si>
  <si>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</si>
  <si>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</si>
  <si>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</si>
  <si>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</si>
  <si>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</si>
  <si>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</si>
  <si>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</si>
  <si>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</si>
  <si>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</si>
  <si>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</si>
  <si>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</si>
  <si>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</si>
  <si>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</si>
  <si>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</si>
  <si>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</si>
  <si>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</si>
  <si>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</si>
  <si>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</si>
  <si>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</si>
  <si>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</si>
  <si>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</si>
  <si>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</si>
  <si>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</si>
  <si>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</si>
  <si>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</si>
  <si>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</si>
  <si>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</si>
  <si>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</si>
  <si>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</si>
  <si>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</si>
  <si>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</si>
  <si>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</si>
  <si>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</si>
  <si>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</si>
  <si>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</si>
  <si>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</si>
  <si>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</si>
  <si>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</si>
  <si>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</si>
  <si>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</si>
  <si>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</si>
  <si>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</si>
  <si>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</si>
  <si>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</si>
  <si>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07000 00000</t>
  </si>
  <si>
    <t>07200 00000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</si>
  <si>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</si>
  <si>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</si>
  <si>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</si>
  <si>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</si>
  <si>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</si>
  <si>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</si>
  <si>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</si>
  <si>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</si>
  <si>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</si>
  <si>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</si>
  <si>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</si>
  <si>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</si>
  <si>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</si>
  <si>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</si>
  <si>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</si>
  <si>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</si>
  <si>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</si>
  <si>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</si>
  <si>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</si>
  <si>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</si>
  <si>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</si>
  <si>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</si>
  <si>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</si>
  <si>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</si>
  <si>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</si>
  <si>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</si>
  <si>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</si>
  <si>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</si>
  <si>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</si>
  <si>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</si>
  <si>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</si>
  <si>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</si>
  <si>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</si>
  <si>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</si>
  <si>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</si>
  <si>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</si>
  <si>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</si>
  <si>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</si>
  <si>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</si>
  <si>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</si>
  <si>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</si>
  <si>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</si>
  <si>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</si>
  <si>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</si>
  <si>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</si>
  <si>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</si>
  <si>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</si>
  <si>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</si>
  <si>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</si>
  <si>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</si>
  <si>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</si>
  <si>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</si>
  <si>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</si>
  <si>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</si>
  <si>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</si>
  <si>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</si>
  <si>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</si>
  <si>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</si>
  <si>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</si>
  <si>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</si>
  <si>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</si>
  <si>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</si>
  <si>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</si>
  <si>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</si>
  <si>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</si>
  <si>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</si>
  <si>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</si>
  <si>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</si>
  <si>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07201 00000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</si>
  <si>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</si>
  <si>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</si>
  <si>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</si>
  <si>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</si>
  <si>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</si>
  <si>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</si>
  <si>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</si>
  <si>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</si>
  <si>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</si>
  <si>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</si>
  <si>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</si>
  <si>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</si>
  <si>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</si>
  <si>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</si>
  <si>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</si>
  <si>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</si>
  <si>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</si>
  <si>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Комплексные меры противодействия злоупотреблением наркотиками и их незаконному обороту</t>
  </si>
  <si>
    <t>07201 S2570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</si>
  <si>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</si>
  <si>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</si>
  <si>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</si>
  <si>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</si>
  <si>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</si>
  <si>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>07100 00000</t>
  </si>
  <si>
    <t>Основное мероприятие "Снижение уровня аварийности и травматизма на дорогах района"</t>
  </si>
  <si>
    <t>07101 00000</t>
  </si>
  <si>
    <t>Обеспечение деятельности по охране правопорядка и общественной безопасности, повышению безопасности дорожного движения</t>
  </si>
  <si>
    <t>07101 S2660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</si>
  <si>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</si>
  <si>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</si>
  <si>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</si>
  <si>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</si>
  <si>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</si>
  <si>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</si>
  <si>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</si>
  <si>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</si>
  <si>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</si>
  <si>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</si>
  <si>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</si>
  <si>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</si>
  <si>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</si>
  <si>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</si>
  <si>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</si>
  <si>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</si>
  <si>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</si>
  <si>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Муниципальная Программа «Развитие муниципальной службы в Селенгинском районе на 2020 - 2024 годы»</t>
  </si>
  <si>
    <t>01001 82900</t>
  </si>
  <si>
    <t>Муниципальная программа «Развитие малого и среднего предпринимательства в Селенгинском районе на 2020-2024 годы</t>
  </si>
  <si>
    <t>05001 00000</t>
  </si>
  <si>
    <t>05001 82900</t>
  </si>
  <si>
    <t>Муниципальная программа «Организация общественных работ на территории Селенгинского района на 2020-2024 годы</t>
  </si>
  <si>
    <t>01001 00000</t>
  </si>
  <si>
    <t>Расходы на обеспечение деятельности учреждений строительства</t>
  </si>
  <si>
    <t>10201 53030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</si>
  <si>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</si>
  <si>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</si>
  <si>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</si>
  <si>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Муниципальная программа «Охрана общественного порядка в Селенгинском районе на 2020-2024 годы</t>
  </si>
  <si>
    <t>312</t>
  </si>
  <si>
    <t>16000 00000</t>
  </si>
  <si>
    <t>Основное мероприятие "Благоустройство дворовых и общественных территорий "</t>
  </si>
  <si>
    <t>Муниципальная Программа «Управление муниципальными финансами и муниципальным долгом на 2020-2024 годы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</si>
  <si>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</si>
  <si>
    <t>Расходы на обеспечение деятельности учреждения</t>
  </si>
  <si>
    <t>Муниципальная программа «Комплексное развитие сельских территорий в Селенгинском районе на 2020-2024 годы»</t>
  </si>
  <si>
    <t>Иные пенсии, социальные доплаты к пенсиям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</si>
  <si>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</si>
  <si>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</si>
  <si>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</si>
  <si>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</si>
  <si>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</si>
  <si>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</si>
  <si>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</si>
  <si>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</si>
  <si>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</si>
  <si>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Муниципальная программа "Чистая вода на 2020-2024 годы"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</si>
  <si>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</si>
  <si>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</si>
  <si>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</si>
  <si>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</si>
  <si>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</si>
  <si>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</si>
  <si>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</si>
  <si>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</si>
  <si>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</si>
  <si>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</si>
  <si>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</si>
  <si>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</si>
  <si>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</si>
  <si>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</si>
  <si>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</si>
  <si>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</si>
  <si>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</si>
  <si>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</si>
  <si>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</si>
  <si>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</si>
  <si>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</si>
  <si>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Муниципальная Программа «Развитие культуры в Селенгинском районе на 2020 – 2024 годы»</t>
  </si>
  <si>
    <t>Реализация полномочий местного самоуправления в сфере культуры</t>
  </si>
  <si>
    <t>Муниципальная программа «Старшее поколение на 2020-2024 годы</t>
  </si>
  <si>
    <t>Муниципальная Программа «Развитие физической культуры, спорта и молодежной политики в Селенгинском районе на  2020 – 2024 годы»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</si>
  <si>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</si>
  <si>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</si>
  <si>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</si>
  <si>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17001 00000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</si>
  <si>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</si>
  <si>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</si>
  <si>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</si>
  <si>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Муниципальная программа "Формирование комфортной городской среды на территории муниципального образования "Селенгинский район" на 2018-2022годы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</si>
  <si>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</si>
  <si>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</si>
  <si>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</si>
  <si>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</si>
  <si>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</si>
  <si>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</si>
  <si>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</si>
  <si>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</si>
  <si>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</si>
  <si>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</si>
  <si>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</si>
  <si>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160F2 55550</t>
  </si>
  <si>
    <t>Подпрограмма"Совершенствование межбюджетных отношений"</t>
  </si>
  <si>
    <t>Подпрограмма «Повышение безопасности дорожного движения в Селенгинском районе»</t>
  </si>
  <si>
    <t>Подпрограмма «Комплексные меры противодействия злоупотреблению наркотикам и их незаконному обороту в Селенгинском районе»</t>
  </si>
  <si>
    <t>Подпрограмма «Профилактика преступлений и иных правонарушений  в Селенгинском районе»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</si>
  <si>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</si>
  <si>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</si>
  <si>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</si>
  <si>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</si>
  <si>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</si>
  <si>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</si>
  <si>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</si>
  <si>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 xml:space="preserve">На обеспечение муниципальных дошкольных и общеобразовательных организаций педагогическими работниками   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</si>
  <si>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</si>
  <si>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</si>
  <si>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</si>
  <si>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</si>
  <si>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</si>
  <si>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</si>
  <si>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</si>
  <si>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</si>
  <si>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Основное мероприятие "Реализация полномочий местного самоуправления в сфере культуры"</t>
  </si>
  <si>
    <t>08402 00000</t>
  </si>
  <si>
    <t>Основное мероприятие "Расходы на проведение мероприятий в области физической культуры и спорт"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</si>
  <si>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</si>
  <si>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"Расходы, связанные с выполнением деятельности учреждений физической культуры и спорта"</t>
  </si>
  <si>
    <t>10201 S2Л40</t>
  </si>
  <si>
    <t>10201 S2К90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</si>
  <si>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</si>
  <si>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</si>
  <si>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</si>
  <si>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09401 83890</t>
  </si>
  <si>
    <t>Реализация мероприятий регионального проекта "Социальная активность"</t>
  </si>
  <si>
    <t>Прочая закупка товаров, работ и услуг</t>
  </si>
  <si>
    <t>Охрана семьи и детства</t>
  </si>
  <si>
    <t>247</t>
  </si>
  <si>
    <t>Закупка энергетических ресурсов</t>
  </si>
  <si>
    <t>Приложение № 5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</si>
  <si>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</si>
  <si>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</si>
  <si>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</si>
  <si>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</si>
  <si>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Иные выплаты населению</t>
  </si>
  <si>
    <t>360</t>
  </si>
  <si>
    <t>04201 82170</t>
  </si>
  <si>
    <t>04102 82150</t>
  </si>
  <si>
    <t>Субсидии автономным учреждениям на иные цели</t>
  </si>
  <si>
    <t>Муниципальная программа «Сохранение и развитие бурятского языка в Селенгинском районе на 2021-2024 годы"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</si>
  <si>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</si>
  <si>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</si>
  <si>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</si>
  <si>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</si>
  <si>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</si>
  <si>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</si>
  <si>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22002 S5060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</si>
  <si>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</si>
  <si>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</si>
  <si>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 год</t>
  </si>
  <si>
    <t>На дорожную деятельность в отношении автомобильных дорог общего пользования местного значения</t>
  </si>
  <si>
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</si>
  <si>
    <t>Празднование юбилейных и памятных дат</t>
  </si>
  <si>
    <t>99900 71050</t>
  </si>
  <si>
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</si>
  <si>
    <t>99900 72900</t>
  </si>
  <si>
    <t>Другие вопросы в области жилищно-коммунального хозяйства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</si>
  <si>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</si>
  <si>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</si>
  <si>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по обеспечению жильем молодых семей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</si>
  <si>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</si>
  <si>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</si>
  <si>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Муниципальная программа  «Развитие туризма и благоустройство мест массового отдыха в Селенгинском районе на 2020-2024 годы»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</si>
  <si>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</si>
  <si>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</si>
  <si>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</si>
  <si>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</si>
  <si>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</si>
  <si>
    <t>09600 00000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</si>
  <si>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</si>
  <si>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</si>
  <si>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</si>
  <si>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</si>
  <si>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плановый период 2024-2025 годов"</t>
  </si>
  <si>
    <t>«Селенгинский район» на 2023 год</t>
  </si>
  <si>
    <t>102EВ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</si>
  <si>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</si>
  <si>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комплексного развития сельских территорий</t>
  </si>
  <si>
    <t>999F2 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</si>
  <si>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</si>
  <si>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Реализация мероприятий по модернизации школьных систем образования</t>
  </si>
  <si>
    <t>10203 L7500</t>
  </si>
  <si>
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</si>
  <si>
    <t>Мероприятия по обеспечению комплексного развития сельских территорий</t>
  </si>
  <si>
    <t>10203 S2И50</t>
  </si>
  <si>
    <t>122</t>
  </si>
  <si>
    <t>Иные выплаты персоналу государственных (муниципальных) органов, за исключением фонда оплаты труда</t>
  </si>
  <si>
    <t>112</t>
  </si>
  <si>
    <t>99900 82900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</si>
  <si>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</si>
  <si>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</si>
  <si>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</si>
  <si>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</si>
  <si>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18001 00000</t>
  </si>
  <si>
    <t>18001 S2М80</t>
  </si>
  <si>
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</si>
  <si>
    <t>Иные выплаты персоналу учреждений, за исключением фонда оплаты труда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</si>
  <si>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</si>
  <si>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</si>
  <si>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09200 00000</t>
  </si>
  <si>
    <t>851</t>
  </si>
  <si>
    <t>852</t>
  </si>
  <si>
    <t xml:space="preserve">Уплата прочих налогов, сборов </t>
  </si>
  <si>
    <t>Уплата прочих налогов, сборов</t>
  </si>
  <si>
    <t>Основное мероприятие «Обеспечение специалистами сферы физической культуры и спорта»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</si>
  <si>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</si>
  <si>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</si>
  <si>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</si>
  <si>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</si>
  <si>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</si>
  <si>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</si>
  <si>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</si>
  <si>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</si>
  <si>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</si>
  <si>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</si>
  <si>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Субсидия на комплексные кадастровые работы, финансируемые из средств республиканского бюджета</t>
  </si>
  <si>
    <t>04103 S2П90</t>
  </si>
  <si>
    <t>04103 S2310</t>
  </si>
  <si>
    <t>от "23" декабря 2022 № 227</t>
  </si>
  <si>
    <t>к решению районного Совета депутатов МО "Селенгинский район"</t>
  </si>
  <si>
    <t xml:space="preserve">Резервные фонды местных администраций
</t>
  </si>
  <si>
    <t>06010 82900</t>
  </si>
  <si>
    <t>06010 00000</t>
  </si>
  <si>
    <t>06030 00000</t>
  </si>
  <si>
    <t>06031 00000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</si>
  <si>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</si>
  <si>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</si>
  <si>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06036 L5760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</si>
  <si>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</si>
  <si>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06031 L5760</t>
  </si>
  <si>
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</si>
  <si>
    <t>06033 00000</t>
  </si>
  <si>
    <t>06033 L5760</t>
  </si>
  <si>
    <t>06033 S2M40</t>
  </si>
  <si>
    <t>Уплата налога на имущество организаций и земельного налога</t>
  </si>
  <si>
    <t>,03</t>
  </si>
  <si>
    <t>06032 00000</t>
  </si>
  <si>
    <t>06032 L5760</t>
  </si>
  <si>
    <t>06034 00000</t>
  </si>
  <si>
    <t>06034 L5760</t>
  </si>
  <si>
    <t>06037 00000</t>
  </si>
  <si>
    <t>06037 L5760</t>
  </si>
  <si>
    <t xml:space="preserve">Обеспечение комплексного развития сельских территорий (Строительство сельского дома культуры в у. Тохой, ул.Ленина, уч.№27А) </t>
  </si>
  <si>
    <t xml:space="preserve">Обеспечение комплексного развития сельских территорий (Капитальный ремонт Цайдамского сельского клуба в у. Цайдам, ул.Школьная, д.23) </t>
  </si>
  <si>
    <t>Обеспечение комплексного развития сельских территорий (Капитальный ремонт районного Дома культуры для МАУ РДК "Шахтер" г.Гусиноозерск)</t>
  </si>
  <si>
    <t>06040 L5760</t>
  </si>
  <si>
    <t>06040 00000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</si>
  <si>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</si>
  <si>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06035 L5760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</si>
  <si>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</si>
  <si>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</si>
  <si>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04300 00000</t>
  </si>
  <si>
    <t>Подпрограмма "Развитие дорожной сети в Селенгинском районе"</t>
  </si>
  <si>
    <t>04304 00000</t>
  </si>
  <si>
    <t>Основное мероприятие "Содержание автомобильных дорог общего пользования местного значения"</t>
  </si>
  <si>
    <t>04304 82200</t>
  </si>
  <si>
    <t xml:space="preserve">Расходы на содержание автомобильных дорог общего пользования местного значения </t>
  </si>
  <si>
    <t>04304 S21Д0</t>
  </si>
  <si>
    <t>04304 S23ДО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</si>
  <si>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</si>
  <si>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</si>
  <si>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25000 00000</t>
  </si>
  <si>
    <t>25001 00000</t>
  </si>
  <si>
    <t>25001 82900</t>
  </si>
  <si>
    <t>Муниципальная программа "Охрана окружающей среды в муниципальном образовании "Селенгинский район" на 2023-2025гг."</t>
  </si>
  <si>
    <t>Основное мероприятие "Проведение мониторинга несанкционированных свалок"</t>
  </si>
  <si>
    <t>831</t>
  </si>
  <si>
    <t>03002 00000</t>
  </si>
  <si>
    <t>03002 S2610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</si>
  <si>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</si>
  <si>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Благоустройство территорий, прилегающих к местам туристского показа в муниципальных образованиях в Республике Бурятия</t>
  </si>
  <si>
    <t>Жилищное хозяйство</t>
  </si>
  <si>
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</si>
  <si>
    <t>999F3 67483</t>
  </si>
  <si>
    <t>17001 S2860</t>
  </si>
  <si>
    <t>25002 00000</t>
  </si>
  <si>
    <t>Основное мероприятие "Выполнение работ по санитарной очистке территорий Селенгинского района"</t>
  </si>
  <si>
    <t>25002 82900</t>
  </si>
  <si>
    <t>25003 00000</t>
  </si>
  <si>
    <t>25003 82900</t>
  </si>
  <si>
    <t>Основное мероприятие "Повышение уровня благоустройства территории"</t>
  </si>
  <si>
    <t>99900 55050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</si>
  <si>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</si>
  <si>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99900 74330</t>
  </si>
  <si>
    <t>170F5 52430</t>
  </si>
  <si>
    <t>Cтроительство и реконструкция (модернизация) объектов питьевого водоснабжения</t>
  </si>
  <si>
    <t>99900 S2140</t>
  </si>
  <si>
    <t>10301 S2160</t>
  </si>
  <si>
    <t>На поддержку отрасли культуры</t>
  </si>
  <si>
    <t>08101 R5190</t>
  </si>
  <si>
    <t>08101 S2160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</si>
  <si>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</si>
  <si>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</si>
  <si>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08201 S2160</t>
  </si>
  <si>
    <t>350</t>
  </si>
  <si>
    <t>Премии и гранты</t>
  </si>
  <si>
    <t>09301 S2160</t>
  </si>
  <si>
    <t>Прочие межбюджетные трансферты общего характера</t>
  </si>
  <si>
    <t>Иные межбюджетные трансферты на прочие мероприятия</t>
  </si>
  <si>
    <t>02201 63010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</si>
  <si>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</si>
  <si>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 xml:space="preserve">Приложение №4       </t>
  </si>
  <si>
    <t>от 17  марта 2023 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</si>
</sst>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0000"/>
    <numFmt numFmtId="166" formatCode="#,##0.00000"/>
  </numFmts>
  <fonts count="24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165" fontId="7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wrapText="1"/>
    </xf>
    <xf numFmtId="165" fontId="17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wrapText="1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1" fillId="9" borderId="0" xfId="0" applyFont="1" applyFill="1" applyAlignment="1">
      <alignment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wrapText="1"/>
    </xf>
    <xf numFmtId="0" fontId="5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6" fillId="0" borderId="1" xfId="0" applyFont="1" applyBorder="1"/>
    <xf numFmtId="166" fontId="22" fillId="0" borderId="0" xfId="0" applyNumberFormat="1" applyFont="1" applyAlignment="1">
      <alignment wrapText="1"/>
    </xf>
    <xf numFmtId="0" fontId="23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48.xml"/><Relationship Id="rId299" Type="http://schemas.openxmlformats.org/officeDocument/2006/relationships/revisionLog" Target="revisionLog227.xml"/><Relationship Id="rId84" Type="http://schemas.openxmlformats.org/officeDocument/2006/relationships/revisionLog" Target="revisionLog15.xml"/><Relationship Id="rId138" Type="http://schemas.openxmlformats.org/officeDocument/2006/relationships/revisionLog" Target="revisionLog73.xml"/><Relationship Id="rId159" Type="http://schemas.openxmlformats.org/officeDocument/2006/relationships/revisionLog" Target="revisionLog94.xml"/><Relationship Id="rId324" Type="http://schemas.openxmlformats.org/officeDocument/2006/relationships/revisionLog" Target="revisionLog252.xml"/><Relationship Id="rId345" Type="http://schemas.openxmlformats.org/officeDocument/2006/relationships/revisionLog" Target="revisionLog273.xml"/><Relationship Id="rId366" Type="http://schemas.openxmlformats.org/officeDocument/2006/relationships/revisionLog" Target="revisionLog294.xml"/><Relationship Id="rId387" Type="http://schemas.openxmlformats.org/officeDocument/2006/relationships/revisionLog" Target="revisionLog315.xml"/><Relationship Id="rId170" Type="http://schemas.openxmlformats.org/officeDocument/2006/relationships/revisionLog" Target="revisionLog105.xml"/><Relationship Id="rId191" Type="http://schemas.openxmlformats.org/officeDocument/2006/relationships/revisionLog" Target="revisionLog127.xml"/><Relationship Id="rId205" Type="http://schemas.openxmlformats.org/officeDocument/2006/relationships/revisionLog" Target="revisionLog140.xml"/><Relationship Id="rId226" Type="http://schemas.openxmlformats.org/officeDocument/2006/relationships/revisionLog" Target="revisionLog159.xml"/><Relationship Id="rId247" Type="http://schemas.openxmlformats.org/officeDocument/2006/relationships/revisionLog" Target="revisionLog179.xml"/><Relationship Id="rId412" Type="http://schemas.openxmlformats.org/officeDocument/2006/relationships/revisionLog" Target="revisionLog334.xml"/><Relationship Id="rId433" Type="http://schemas.openxmlformats.org/officeDocument/2006/relationships/revisionLog" Target="revisionLog351.xml"/><Relationship Id="rId107" Type="http://schemas.openxmlformats.org/officeDocument/2006/relationships/revisionLog" Target="revisionLog38.xml"/><Relationship Id="rId268" Type="http://schemas.openxmlformats.org/officeDocument/2006/relationships/revisionLog" Target="revisionLog199.xml"/><Relationship Id="rId289" Type="http://schemas.openxmlformats.org/officeDocument/2006/relationships/revisionLog" Target="revisionLog220.xml"/><Relationship Id="rId454" Type="http://schemas.openxmlformats.org/officeDocument/2006/relationships/revisionLog" Target="revisionLog371.xml"/><Relationship Id="rId74" Type="http://schemas.openxmlformats.org/officeDocument/2006/relationships/revisionLog" Target="revisionLog5.xml"/><Relationship Id="rId128" Type="http://schemas.openxmlformats.org/officeDocument/2006/relationships/revisionLog" Target="revisionLog58.xml"/><Relationship Id="rId149" Type="http://schemas.openxmlformats.org/officeDocument/2006/relationships/revisionLog" Target="revisionLog84.xml"/><Relationship Id="rId314" Type="http://schemas.openxmlformats.org/officeDocument/2006/relationships/revisionLog" Target="revisionLog242.xml"/><Relationship Id="rId335" Type="http://schemas.openxmlformats.org/officeDocument/2006/relationships/revisionLog" Target="revisionLog263.xml"/><Relationship Id="rId356" Type="http://schemas.openxmlformats.org/officeDocument/2006/relationships/revisionLog" Target="revisionLog284.xml"/><Relationship Id="rId377" Type="http://schemas.openxmlformats.org/officeDocument/2006/relationships/revisionLog" Target="revisionLog305.xml"/><Relationship Id="rId398" Type="http://schemas.openxmlformats.org/officeDocument/2006/relationships/revisionLog" Target="revisionLog11.xml"/><Relationship Id="rId95" Type="http://schemas.openxmlformats.org/officeDocument/2006/relationships/revisionLog" Target="revisionLog26.xml"/><Relationship Id="rId160" Type="http://schemas.openxmlformats.org/officeDocument/2006/relationships/revisionLog" Target="revisionLog95.xml"/><Relationship Id="rId181" Type="http://schemas.openxmlformats.org/officeDocument/2006/relationships/revisionLog" Target="revisionLog117.xml"/><Relationship Id="rId216" Type="http://schemas.openxmlformats.org/officeDocument/2006/relationships/revisionLog" Target="revisionLog111.xml"/><Relationship Id="rId237" Type="http://schemas.openxmlformats.org/officeDocument/2006/relationships/revisionLog" Target="revisionLog170.xml"/><Relationship Id="rId402" Type="http://schemas.openxmlformats.org/officeDocument/2006/relationships/revisionLog" Target="revisionLog12.xml"/><Relationship Id="rId423" Type="http://schemas.openxmlformats.org/officeDocument/2006/relationships/revisionLog" Target="revisionLog345.xml"/><Relationship Id="rId258" Type="http://schemas.openxmlformats.org/officeDocument/2006/relationships/revisionLog" Target="revisionLog189.xml"/><Relationship Id="rId279" Type="http://schemas.openxmlformats.org/officeDocument/2006/relationships/revisionLog" Target="revisionLog210.xml"/><Relationship Id="rId444" Type="http://schemas.openxmlformats.org/officeDocument/2006/relationships/revisionLog" Target="revisionLog362.xml"/><Relationship Id="rId118" Type="http://schemas.openxmlformats.org/officeDocument/2006/relationships/revisionLog" Target="revisionLog49.xml"/><Relationship Id="rId139" Type="http://schemas.openxmlformats.org/officeDocument/2006/relationships/revisionLog" Target="revisionLog74.xml"/><Relationship Id="rId290" Type="http://schemas.openxmlformats.org/officeDocument/2006/relationships/revisionLog" Target="revisionLog221.xml"/><Relationship Id="rId304" Type="http://schemas.openxmlformats.org/officeDocument/2006/relationships/revisionLog" Target="revisionLog232.xml"/><Relationship Id="rId325" Type="http://schemas.openxmlformats.org/officeDocument/2006/relationships/revisionLog" Target="revisionLog253.xml"/><Relationship Id="rId346" Type="http://schemas.openxmlformats.org/officeDocument/2006/relationships/revisionLog" Target="revisionLog274.xml"/><Relationship Id="rId367" Type="http://schemas.openxmlformats.org/officeDocument/2006/relationships/revisionLog" Target="revisionLog295.xml"/><Relationship Id="rId388" Type="http://schemas.openxmlformats.org/officeDocument/2006/relationships/revisionLog" Target="revisionLog316.xml"/><Relationship Id="rId85" Type="http://schemas.openxmlformats.org/officeDocument/2006/relationships/revisionLog" Target="revisionLog16.xml"/><Relationship Id="rId150" Type="http://schemas.openxmlformats.org/officeDocument/2006/relationships/revisionLog" Target="revisionLog85.xml"/><Relationship Id="rId171" Type="http://schemas.openxmlformats.org/officeDocument/2006/relationships/revisionLog" Target="revisionLog106.xml"/><Relationship Id="rId192" Type="http://schemas.openxmlformats.org/officeDocument/2006/relationships/revisionLog" Target="revisionLog128.xml"/><Relationship Id="rId206" Type="http://schemas.openxmlformats.org/officeDocument/2006/relationships/revisionLog" Target="revisionLog141.xml"/><Relationship Id="rId227" Type="http://schemas.openxmlformats.org/officeDocument/2006/relationships/revisionLog" Target="revisionLog160.xml"/><Relationship Id="rId413" Type="http://schemas.openxmlformats.org/officeDocument/2006/relationships/revisionLog" Target="revisionLog335.xml"/><Relationship Id="rId248" Type="http://schemas.openxmlformats.org/officeDocument/2006/relationships/revisionLog" Target="revisionLog180.xml"/><Relationship Id="rId269" Type="http://schemas.openxmlformats.org/officeDocument/2006/relationships/revisionLog" Target="revisionLog200.xml"/><Relationship Id="rId434" Type="http://schemas.openxmlformats.org/officeDocument/2006/relationships/revisionLog" Target="revisionLog352.xml"/><Relationship Id="rId108" Type="http://schemas.openxmlformats.org/officeDocument/2006/relationships/revisionLog" Target="revisionLog39.xml"/><Relationship Id="rId129" Type="http://schemas.openxmlformats.org/officeDocument/2006/relationships/revisionLog" Target="revisionLog59.xml"/><Relationship Id="rId280" Type="http://schemas.openxmlformats.org/officeDocument/2006/relationships/revisionLog" Target="revisionLog211.xml"/><Relationship Id="rId315" Type="http://schemas.openxmlformats.org/officeDocument/2006/relationships/revisionLog" Target="revisionLog243.xml"/><Relationship Id="rId336" Type="http://schemas.openxmlformats.org/officeDocument/2006/relationships/revisionLog" Target="revisionLog264.xml"/><Relationship Id="rId357" Type="http://schemas.openxmlformats.org/officeDocument/2006/relationships/revisionLog" Target="revisionLog285.xml"/><Relationship Id="rId75" Type="http://schemas.openxmlformats.org/officeDocument/2006/relationships/revisionLog" Target="revisionLog6.xml"/><Relationship Id="rId96" Type="http://schemas.openxmlformats.org/officeDocument/2006/relationships/revisionLog" Target="revisionLog27.xml"/><Relationship Id="rId140" Type="http://schemas.openxmlformats.org/officeDocument/2006/relationships/revisionLog" Target="revisionLog75.xml"/><Relationship Id="rId161" Type="http://schemas.openxmlformats.org/officeDocument/2006/relationships/revisionLog" Target="revisionLog96.xml"/><Relationship Id="rId182" Type="http://schemas.openxmlformats.org/officeDocument/2006/relationships/revisionLog" Target="revisionLog118.xml"/><Relationship Id="rId217" Type="http://schemas.openxmlformats.org/officeDocument/2006/relationships/revisionLog" Target="revisionLog151.xml"/><Relationship Id="rId378" Type="http://schemas.openxmlformats.org/officeDocument/2006/relationships/revisionLog" Target="revisionLog306.xml"/><Relationship Id="rId399" Type="http://schemas.openxmlformats.org/officeDocument/2006/relationships/revisionLog" Target="revisionLog121.xml"/><Relationship Id="rId403" Type="http://schemas.openxmlformats.org/officeDocument/2006/relationships/revisionLog" Target="revisionLog325.xml"/><Relationship Id="rId238" Type="http://schemas.openxmlformats.org/officeDocument/2006/relationships/revisionLog" Target="revisionLog171.xml"/><Relationship Id="rId259" Type="http://schemas.openxmlformats.org/officeDocument/2006/relationships/revisionLog" Target="revisionLog190.xml"/><Relationship Id="rId424" Type="http://schemas.openxmlformats.org/officeDocument/2006/relationships/revisionLog" Target="revisionLog346.xml"/><Relationship Id="rId445" Type="http://schemas.openxmlformats.org/officeDocument/2006/relationships/revisionLog" Target="revisionLog363.xml"/><Relationship Id="rId119" Type="http://schemas.openxmlformats.org/officeDocument/2006/relationships/revisionLog" Target="revisionLog50.xml"/><Relationship Id="rId270" Type="http://schemas.openxmlformats.org/officeDocument/2006/relationships/revisionLog" Target="revisionLog201.xml"/><Relationship Id="rId291" Type="http://schemas.openxmlformats.org/officeDocument/2006/relationships/revisionLog" Target="revisionLog222.xml"/><Relationship Id="rId305" Type="http://schemas.openxmlformats.org/officeDocument/2006/relationships/revisionLog" Target="revisionLog233.xml"/><Relationship Id="rId326" Type="http://schemas.openxmlformats.org/officeDocument/2006/relationships/revisionLog" Target="revisionLog254.xml"/><Relationship Id="rId347" Type="http://schemas.openxmlformats.org/officeDocument/2006/relationships/revisionLog" Target="revisionLog275.xml"/><Relationship Id="rId65" Type="http://schemas.openxmlformats.org/officeDocument/2006/relationships/revisionLog" Target="revisionLog63.xml"/><Relationship Id="rId86" Type="http://schemas.openxmlformats.org/officeDocument/2006/relationships/revisionLog" Target="revisionLog17.xml"/><Relationship Id="rId130" Type="http://schemas.openxmlformats.org/officeDocument/2006/relationships/revisionLog" Target="revisionLog60.xml"/><Relationship Id="rId151" Type="http://schemas.openxmlformats.org/officeDocument/2006/relationships/revisionLog" Target="revisionLog86.xml"/><Relationship Id="rId368" Type="http://schemas.openxmlformats.org/officeDocument/2006/relationships/revisionLog" Target="revisionLog296.xml"/><Relationship Id="rId389" Type="http://schemas.openxmlformats.org/officeDocument/2006/relationships/revisionLog" Target="revisionLog317.xml"/><Relationship Id="rId172" Type="http://schemas.openxmlformats.org/officeDocument/2006/relationships/revisionLog" Target="revisionLog107.xml"/><Relationship Id="rId193" Type="http://schemas.openxmlformats.org/officeDocument/2006/relationships/revisionLog" Target="revisionLog129.xml"/><Relationship Id="rId207" Type="http://schemas.openxmlformats.org/officeDocument/2006/relationships/revisionLog" Target="revisionLog142.xml"/><Relationship Id="rId228" Type="http://schemas.openxmlformats.org/officeDocument/2006/relationships/revisionLog" Target="revisionLog161.xml"/><Relationship Id="rId249" Type="http://schemas.openxmlformats.org/officeDocument/2006/relationships/revisionLog" Target="revisionLog181.xml"/><Relationship Id="rId414" Type="http://schemas.openxmlformats.org/officeDocument/2006/relationships/revisionLog" Target="revisionLog336.xml"/><Relationship Id="rId435" Type="http://schemas.openxmlformats.org/officeDocument/2006/relationships/revisionLog" Target="revisionLog353.xml"/><Relationship Id="rId109" Type="http://schemas.openxmlformats.org/officeDocument/2006/relationships/revisionLog" Target="revisionLog40.xml"/><Relationship Id="rId260" Type="http://schemas.openxmlformats.org/officeDocument/2006/relationships/revisionLog" Target="revisionLog191.xml"/><Relationship Id="rId281" Type="http://schemas.openxmlformats.org/officeDocument/2006/relationships/revisionLog" Target="revisionLog212.xml"/><Relationship Id="rId316" Type="http://schemas.openxmlformats.org/officeDocument/2006/relationships/revisionLog" Target="revisionLog244.xml"/><Relationship Id="rId337" Type="http://schemas.openxmlformats.org/officeDocument/2006/relationships/revisionLog" Target="revisionLog265.xml"/><Relationship Id="rId76" Type="http://schemas.openxmlformats.org/officeDocument/2006/relationships/revisionLog" Target="revisionLog7.xml"/><Relationship Id="rId97" Type="http://schemas.openxmlformats.org/officeDocument/2006/relationships/revisionLog" Target="revisionLog28.xml"/><Relationship Id="rId120" Type="http://schemas.openxmlformats.org/officeDocument/2006/relationships/revisionLog" Target="revisionLog51.xml"/><Relationship Id="rId141" Type="http://schemas.openxmlformats.org/officeDocument/2006/relationships/revisionLog" Target="revisionLog76.xml"/><Relationship Id="rId358" Type="http://schemas.openxmlformats.org/officeDocument/2006/relationships/revisionLog" Target="revisionLog286.xml"/><Relationship Id="rId379" Type="http://schemas.openxmlformats.org/officeDocument/2006/relationships/revisionLog" Target="revisionLog307.xml"/><Relationship Id="rId162" Type="http://schemas.openxmlformats.org/officeDocument/2006/relationships/revisionLog" Target="revisionLog97.xml"/><Relationship Id="rId183" Type="http://schemas.openxmlformats.org/officeDocument/2006/relationships/revisionLog" Target="revisionLog119.xml"/><Relationship Id="rId218" Type="http://schemas.openxmlformats.org/officeDocument/2006/relationships/revisionLog" Target="revisionLog152.xml"/><Relationship Id="rId239" Type="http://schemas.openxmlformats.org/officeDocument/2006/relationships/revisionLog" Target="revisionLog172.xml"/><Relationship Id="rId390" Type="http://schemas.openxmlformats.org/officeDocument/2006/relationships/revisionLog" Target="revisionLog318.xml"/><Relationship Id="rId404" Type="http://schemas.openxmlformats.org/officeDocument/2006/relationships/revisionLog" Target="revisionLog326.xml"/><Relationship Id="rId425" Type="http://schemas.openxmlformats.org/officeDocument/2006/relationships/revisionLog" Target="revisionLog13.xml"/><Relationship Id="rId446" Type="http://schemas.openxmlformats.org/officeDocument/2006/relationships/revisionLog" Target="revisionLog364.xml"/><Relationship Id="rId250" Type="http://schemas.openxmlformats.org/officeDocument/2006/relationships/revisionLog" Target="revisionLog182.xml"/><Relationship Id="rId271" Type="http://schemas.openxmlformats.org/officeDocument/2006/relationships/revisionLog" Target="revisionLog202.xml"/><Relationship Id="rId292" Type="http://schemas.openxmlformats.org/officeDocument/2006/relationships/revisionLog" Target="revisionLog223.xml"/><Relationship Id="rId306" Type="http://schemas.openxmlformats.org/officeDocument/2006/relationships/revisionLog" Target="revisionLog234.xml"/><Relationship Id="rId66" Type="http://schemas.openxmlformats.org/officeDocument/2006/relationships/revisionLog" Target="revisionLog64.xml"/><Relationship Id="rId87" Type="http://schemas.openxmlformats.org/officeDocument/2006/relationships/revisionLog" Target="revisionLog18.xml"/><Relationship Id="rId110" Type="http://schemas.openxmlformats.org/officeDocument/2006/relationships/revisionLog" Target="revisionLog41.xml"/><Relationship Id="rId131" Type="http://schemas.openxmlformats.org/officeDocument/2006/relationships/revisionLog" Target="revisionLog61.xml"/><Relationship Id="rId327" Type="http://schemas.openxmlformats.org/officeDocument/2006/relationships/revisionLog" Target="revisionLog255.xml"/><Relationship Id="rId348" Type="http://schemas.openxmlformats.org/officeDocument/2006/relationships/revisionLog" Target="revisionLog276.xml"/><Relationship Id="rId369" Type="http://schemas.openxmlformats.org/officeDocument/2006/relationships/revisionLog" Target="revisionLog297.xml"/><Relationship Id="rId152" Type="http://schemas.openxmlformats.org/officeDocument/2006/relationships/revisionLog" Target="revisionLog87.xml"/><Relationship Id="rId173" Type="http://schemas.openxmlformats.org/officeDocument/2006/relationships/revisionLog" Target="revisionLog108.xml"/><Relationship Id="rId194" Type="http://schemas.openxmlformats.org/officeDocument/2006/relationships/revisionLog" Target="revisionLog130.xml"/><Relationship Id="rId208" Type="http://schemas.openxmlformats.org/officeDocument/2006/relationships/revisionLog" Target="revisionLog143.xml"/><Relationship Id="rId229" Type="http://schemas.openxmlformats.org/officeDocument/2006/relationships/revisionLog" Target="revisionLog162.xml"/><Relationship Id="rId380" Type="http://schemas.openxmlformats.org/officeDocument/2006/relationships/revisionLog" Target="revisionLog308.xml"/><Relationship Id="rId415" Type="http://schemas.openxmlformats.org/officeDocument/2006/relationships/revisionLog" Target="revisionLog337.xml"/><Relationship Id="rId436" Type="http://schemas.openxmlformats.org/officeDocument/2006/relationships/revisionLog" Target="revisionLog354.xml"/><Relationship Id="rId240" Type="http://schemas.openxmlformats.org/officeDocument/2006/relationships/revisionLog" Target="revisionLog173.xml"/><Relationship Id="rId261" Type="http://schemas.openxmlformats.org/officeDocument/2006/relationships/revisionLog" Target="revisionLog192.xml"/><Relationship Id="rId77" Type="http://schemas.openxmlformats.org/officeDocument/2006/relationships/revisionLog" Target="revisionLog8.xml"/><Relationship Id="rId100" Type="http://schemas.openxmlformats.org/officeDocument/2006/relationships/revisionLog" Target="revisionLog31.xml"/><Relationship Id="rId282" Type="http://schemas.openxmlformats.org/officeDocument/2006/relationships/revisionLog" Target="revisionLog213.xml"/><Relationship Id="rId317" Type="http://schemas.openxmlformats.org/officeDocument/2006/relationships/revisionLog" Target="revisionLog245.xml"/><Relationship Id="rId338" Type="http://schemas.openxmlformats.org/officeDocument/2006/relationships/revisionLog" Target="revisionLog266.xml"/><Relationship Id="rId359" Type="http://schemas.openxmlformats.org/officeDocument/2006/relationships/revisionLog" Target="revisionLog287.xml"/><Relationship Id="rId98" Type="http://schemas.openxmlformats.org/officeDocument/2006/relationships/revisionLog" Target="revisionLog29.xml"/><Relationship Id="rId121" Type="http://schemas.openxmlformats.org/officeDocument/2006/relationships/revisionLog" Target="revisionLog52.xml"/><Relationship Id="rId142" Type="http://schemas.openxmlformats.org/officeDocument/2006/relationships/revisionLog" Target="revisionLog77.xml"/><Relationship Id="rId163" Type="http://schemas.openxmlformats.org/officeDocument/2006/relationships/revisionLog" Target="revisionLog98.xml"/><Relationship Id="rId184" Type="http://schemas.openxmlformats.org/officeDocument/2006/relationships/revisionLog" Target="revisionLog120.xml"/><Relationship Id="rId219" Type="http://schemas.openxmlformats.org/officeDocument/2006/relationships/revisionLog" Target="revisionLog14.xml"/><Relationship Id="rId370" Type="http://schemas.openxmlformats.org/officeDocument/2006/relationships/revisionLog" Target="revisionLog298.xml"/><Relationship Id="rId391" Type="http://schemas.openxmlformats.org/officeDocument/2006/relationships/revisionLog" Target="revisionLog319.xml"/><Relationship Id="rId405" Type="http://schemas.openxmlformats.org/officeDocument/2006/relationships/revisionLog" Target="revisionLog327.xml"/><Relationship Id="rId426" Type="http://schemas.openxmlformats.org/officeDocument/2006/relationships/revisionLog" Target="revisionLog19.xml"/><Relationship Id="rId447" Type="http://schemas.openxmlformats.org/officeDocument/2006/relationships/revisionLog" Target="revisionLog365.xml"/><Relationship Id="rId230" Type="http://schemas.openxmlformats.org/officeDocument/2006/relationships/revisionLog" Target="revisionLog163.xml"/><Relationship Id="rId251" Type="http://schemas.openxmlformats.org/officeDocument/2006/relationships/revisionLog" Target="revisionLog193.xml"/><Relationship Id="rId67" Type="http://schemas.openxmlformats.org/officeDocument/2006/relationships/revisionLog" Target="revisionLog65.xml"/><Relationship Id="rId272" Type="http://schemas.openxmlformats.org/officeDocument/2006/relationships/revisionLog" Target="revisionLog203.xml"/><Relationship Id="rId293" Type="http://schemas.openxmlformats.org/officeDocument/2006/relationships/revisionLog" Target="revisionLog110.xml"/><Relationship Id="rId307" Type="http://schemas.openxmlformats.org/officeDocument/2006/relationships/revisionLog" Target="revisionLog235.xml"/><Relationship Id="rId328" Type="http://schemas.openxmlformats.org/officeDocument/2006/relationships/revisionLog" Target="revisionLog256.xml"/><Relationship Id="rId349" Type="http://schemas.openxmlformats.org/officeDocument/2006/relationships/revisionLog" Target="revisionLog277.xml"/><Relationship Id="rId88" Type="http://schemas.openxmlformats.org/officeDocument/2006/relationships/revisionLog" Target="revisionLog1931.xml"/><Relationship Id="rId111" Type="http://schemas.openxmlformats.org/officeDocument/2006/relationships/revisionLog" Target="revisionLog42.xml"/><Relationship Id="rId132" Type="http://schemas.openxmlformats.org/officeDocument/2006/relationships/revisionLog" Target="revisionLog62.xml"/><Relationship Id="rId153" Type="http://schemas.openxmlformats.org/officeDocument/2006/relationships/revisionLog" Target="revisionLog88.xml"/><Relationship Id="rId174" Type="http://schemas.openxmlformats.org/officeDocument/2006/relationships/revisionLog" Target="revisionLog109.xml"/><Relationship Id="rId195" Type="http://schemas.openxmlformats.org/officeDocument/2006/relationships/revisionLog" Target="revisionLog131.xml"/><Relationship Id="rId209" Type="http://schemas.openxmlformats.org/officeDocument/2006/relationships/revisionLog" Target="revisionLog1441.xml"/><Relationship Id="rId360" Type="http://schemas.openxmlformats.org/officeDocument/2006/relationships/revisionLog" Target="revisionLog288.xml"/><Relationship Id="rId381" Type="http://schemas.openxmlformats.org/officeDocument/2006/relationships/revisionLog" Target="revisionLog309.xml"/><Relationship Id="rId416" Type="http://schemas.openxmlformats.org/officeDocument/2006/relationships/revisionLog" Target="revisionLog338.xml"/><Relationship Id="rId220" Type="http://schemas.openxmlformats.org/officeDocument/2006/relationships/revisionLog" Target="revisionLog153.xml"/><Relationship Id="rId241" Type="http://schemas.openxmlformats.org/officeDocument/2006/relationships/revisionLog" Target="revisionLog1211.xml"/><Relationship Id="rId437" Type="http://schemas.openxmlformats.org/officeDocument/2006/relationships/revisionLog" Target="revisionLog355.xml"/><Relationship Id="rId262" Type="http://schemas.openxmlformats.org/officeDocument/2006/relationships/revisionLog" Target="revisionLog19311.xml"/><Relationship Id="rId283" Type="http://schemas.openxmlformats.org/officeDocument/2006/relationships/revisionLog" Target="revisionLog214.xml"/><Relationship Id="rId318" Type="http://schemas.openxmlformats.org/officeDocument/2006/relationships/revisionLog" Target="revisionLog246.xml"/><Relationship Id="rId339" Type="http://schemas.openxmlformats.org/officeDocument/2006/relationships/revisionLog" Target="revisionLog267.xml"/><Relationship Id="rId78" Type="http://schemas.openxmlformats.org/officeDocument/2006/relationships/revisionLog" Target="revisionLog9.xml"/><Relationship Id="rId99" Type="http://schemas.openxmlformats.org/officeDocument/2006/relationships/revisionLog" Target="revisionLog30.xml"/><Relationship Id="rId101" Type="http://schemas.openxmlformats.org/officeDocument/2006/relationships/revisionLog" Target="revisionLog32.xml"/><Relationship Id="rId122" Type="http://schemas.openxmlformats.org/officeDocument/2006/relationships/revisionLog" Target="revisionLog53.xml"/><Relationship Id="rId143" Type="http://schemas.openxmlformats.org/officeDocument/2006/relationships/revisionLog" Target="revisionLog78.xml"/><Relationship Id="rId164" Type="http://schemas.openxmlformats.org/officeDocument/2006/relationships/revisionLog" Target="revisionLog99.xml"/><Relationship Id="rId185" Type="http://schemas.openxmlformats.org/officeDocument/2006/relationships/revisionLog" Target="revisionLog12111.xml"/><Relationship Id="rId350" Type="http://schemas.openxmlformats.org/officeDocument/2006/relationships/revisionLog" Target="revisionLog278.xml"/><Relationship Id="rId371" Type="http://schemas.openxmlformats.org/officeDocument/2006/relationships/revisionLog" Target="revisionLog299.xml"/><Relationship Id="rId406" Type="http://schemas.openxmlformats.org/officeDocument/2006/relationships/revisionLog" Target="revisionLog328.xml"/><Relationship Id="rId210" Type="http://schemas.openxmlformats.org/officeDocument/2006/relationships/revisionLog" Target="revisionLog145.xml"/><Relationship Id="rId392" Type="http://schemas.openxmlformats.org/officeDocument/2006/relationships/revisionLog" Target="revisionLog320.xml"/><Relationship Id="rId427" Type="http://schemas.openxmlformats.org/officeDocument/2006/relationships/revisionLog" Target="revisionLog113.xml"/><Relationship Id="rId448" Type="http://schemas.openxmlformats.org/officeDocument/2006/relationships/revisionLog" Target="revisionLog366.xml"/><Relationship Id="rId231" Type="http://schemas.openxmlformats.org/officeDocument/2006/relationships/revisionLog" Target="revisionLog164.xml"/><Relationship Id="rId252" Type="http://schemas.openxmlformats.org/officeDocument/2006/relationships/revisionLog" Target="revisionLog183.xml"/><Relationship Id="rId273" Type="http://schemas.openxmlformats.org/officeDocument/2006/relationships/revisionLog" Target="revisionLog204.xml"/><Relationship Id="rId294" Type="http://schemas.openxmlformats.org/officeDocument/2006/relationships/revisionLog" Target="revisionLog122.xml"/><Relationship Id="rId308" Type="http://schemas.openxmlformats.org/officeDocument/2006/relationships/revisionLog" Target="revisionLog236.xml"/><Relationship Id="rId329" Type="http://schemas.openxmlformats.org/officeDocument/2006/relationships/revisionLog" Target="revisionLog257.xml"/><Relationship Id="rId68" Type="http://schemas.openxmlformats.org/officeDocument/2006/relationships/revisionLog" Target="revisionLog66.xml"/><Relationship Id="rId89" Type="http://schemas.openxmlformats.org/officeDocument/2006/relationships/revisionLog" Target="revisionLog20.xml"/><Relationship Id="rId112" Type="http://schemas.openxmlformats.org/officeDocument/2006/relationships/revisionLog" Target="revisionLog43.xml"/><Relationship Id="rId133" Type="http://schemas.openxmlformats.org/officeDocument/2006/relationships/revisionLog" Target="revisionLog68.xml"/><Relationship Id="rId154" Type="http://schemas.openxmlformats.org/officeDocument/2006/relationships/revisionLog" Target="revisionLog89.xml"/><Relationship Id="rId175" Type="http://schemas.openxmlformats.org/officeDocument/2006/relationships/revisionLog" Target="revisionLog1101.xml"/><Relationship Id="rId340" Type="http://schemas.openxmlformats.org/officeDocument/2006/relationships/revisionLog" Target="revisionLog268.xml"/><Relationship Id="rId361" Type="http://schemas.openxmlformats.org/officeDocument/2006/relationships/revisionLog" Target="revisionLog289.xml"/><Relationship Id="rId196" Type="http://schemas.openxmlformats.org/officeDocument/2006/relationships/revisionLog" Target="revisionLog132.xml"/><Relationship Id="rId200" Type="http://schemas.openxmlformats.org/officeDocument/2006/relationships/revisionLog" Target="revisionLog135.xml"/><Relationship Id="rId382" Type="http://schemas.openxmlformats.org/officeDocument/2006/relationships/revisionLog" Target="revisionLog310.xml"/><Relationship Id="rId417" Type="http://schemas.openxmlformats.org/officeDocument/2006/relationships/revisionLog" Target="revisionLog339.xml"/><Relationship Id="rId438" Type="http://schemas.openxmlformats.org/officeDocument/2006/relationships/revisionLog" Target="revisionLog356.xml"/><Relationship Id="rId221" Type="http://schemas.openxmlformats.org/officeDocument/2006/relationships/revisionLog" Target="revisionLog154.xml"/><Relationship Id="rId242" Type="http://schemas.openxmlformats.org/officeDocument/2006/relationships/revisionLog" Target="revisionLog174.xml"/><Relationship Id="rId263" Type="http://schemas.openxmlformats.org/officeDocument/2006/relationships/revisionLog" Target="revisionLog194.xml"/><Relationship Id="rId284" Type="http://schemas.openxmlformats.org/officeDocument/2006/relationships/revisionLog" Target="revisionLog215.xml"/><Relationship Id="rId319" Type="http://schemas.openxmlformats.org/officeDocument/2006/relationships/revisionLog" Target="revisionLog247.xml"/><Relationship Id="rId79" Type="http://schemas.openxmlformats.org/officeDocument/2006/relationships/revisionLog" Target="revisionLog10.xml"/><Relationship Id="rId102" Type="http://schemas.openxmlformats.org/officeDocument/2006/relationships/revisionLog" Target="revisionLog33.xml"/><Relationship Id="rId123" Type="http://schemas.openxmlformats.org/officeDocument/2006/relationships/revisionLog" Target="revisionLog54.xml"/><Relationship Id="rId144" Type="http://schemas.openxmlformats.org/officeDocument/2006/relationships/revisionLog" Target="revisionLog79.xml"/><Relationship Id="rId330" Type="http://schemas.openxmlformats.org/officeDocument/2006/relationships/revisionLog" Target="revisionLog258.xml"/><Relationship Id="rId90" Type="http://schemas.openxmlformats.org/officeDocument/2006/relationships/revisionLog" Target="revisionLog21.xml"/><Relationship Id="rId165" Type="http://schemas.openxmlformats.org/officeDocument/2006/relationships/revisionLog" Target="revisionLog100.xml"/><Relationship Id="rId186" Type="http://schemas.openxmlformats.org/officeDocument/2006/relationships/revisionLog" Target="revisionLog1221.xml"/><Relationship Id="rId351" Type="http://schemas.openxmlformats.org/officeDocument/2006/relationships/revisionLog" Target="revisionLog279.xml"/><Relationship Id="rId372" Type="http://schemas.openxmlformats.org/officeDocument/2006/relationships/revisionLog" Target="revisionLog300.xml"/><Relationship Id="rId393" Type="http://schemas.openxmlformats.org/officeDocument/2006/relationships/revisionLog" Target="revisionLog321.xml"/><Relationship Id="rId407" Type="http://schemas.openxmlformats.org/officeDocument/2006/relationships/revisionLog" Target="revisionLog329.xml"/><Relationship Id="rId428" Type="http://schemas.openxmlformats.org/officeDocument/2006/relationships/revisionLog" Target="revisionLog112.xml"/><Relationship Id="rId449" Type="http://schemas.openxmlformats.org/officeDocument/2006/relationships/revisionLog" Target="revisionLog367.xml"/><Relationship Id="rId211" Type="http://schemas.openxmlformats.org/officeDocument/2006/relationships/revisionLog" Target="revisionLog146.xml"/><Relationship Id="rId232" Type="http://schemas.openxmlformats.org/officeDocument/2006/relationships/revisionLog" Target="revisionLog165.xml"/><Relationship Id="rId253" Type="http://schemas.openxmlformats.org/officeDocument/2006/relationships/revisionLog" Target="revisionLog184.xml"/><Relationship Id="rId274" Type="http://schemas.openxmlformats.org/officeDocument/2006/relationships/revisionLog" Target="revisionLog205.xml"/><Relationship Id="rId295" Type="http://schemas.openxmlformats.org/officeDocument/2006/relationships/revisionLog" Target="revisionLog123.xml"/><Relationship Id="rId309" Type="http://schemas.openxmlformats.org/officeDocument/2006/relationships/revisionLog" Target="revisionLog237.xml"/><Relationship Id="rId69" Type="http://schemas.openxmlformats.org/officeDocument/2006/relationships/revisionLog" Target="revisionLog67.xml"/><Relationship Id="rId113" Type="http://schemas.openxmlformats.org/officeDocument/2006/relationships/revisionLog" Target="revisionLog44.xml"/><Relationship Id="rId134" Type="http://schemas.openxmlformats.org/officeDocument/2006/relationships/revisionLog" Target="revisionLog69.xml"/><Relationship Id="rId320" Type="http://schemas.openxmlformats.org/officeDocument/2006/relationships/revisionLog" Target="revisionLog248.xml"/><Relationship Id="rId80" Type="http://schemas.openxmlformats.org/officeDocument/2006/relationships/revisionLog" Target="revisionLog1111.xml"/><Relationship Id="rId155" Type="http://schemas.openxmlformats.org/officeDocument/2006/relationships/revisionLog" Target="revisionLog90.xml"/><Relationship Id="rId176" Type="http://schemas.openxmlformats.org/officeDocument/2006/relationships/revisionLog" Target="revisionLog1121.xml"/><Relationship Id="rId197" Type="http://schemas.openxmlformats.org/officeDocument/2006/relationships/revisionLog" Target="revisionLog133.xml"/><Relationship Id="rId341" Type="http://schemas.openxmlformats.org/officeDocument/2006/relationships/revisionLog" Target="revisionLog269.xml"/><Relationship Id="rId362" Type="http://schemas.openxmlformats.org/officeDocument/2006/relationships/revisionLog" Target="revisionLog290.xml"/><Relationship Id="rId383" Type="http://schemas.openxmlformats.org/officeDocument/2006/relationships/revisionLog" Target="revisionLog311.xml"/><Relationship Id="rId418" Type="http://schemas.openxmlformats.org/officeDocument/2006/relationships/revisionLog" Target="revisionLog340.xml"/><Relationship Id="rId439" Type="http://schemas.openxmlformats.org/officeDocument/2006/relationships/revisionLog" Target="revisionLog357.xml"/><Relationship Id="rId201" Type="http://schemas.openxmlformats.org/officeDocument/2006/relationships/revisionLog" Target="revisionLog136.xml"/><Relationship Id="rId222" Type="http://schemas.openxmlformats.org/officeDocument/2006/relationships/revisionLog" Target="revisionLog155.xml"/><Relationship Id="rId243" Type="http://schemas.openxmlformats.org/officeDocument/2006/relationships/revisionLog" Target="revisionLog175.xml"/><Relationship Id="rId264" Type="http://schemas.openxmlformats.org/officeDocument/2006/relationships/revisionLog" Target="revisionLog195.xml"/><Relationship Id="rId285" Type="http://schemas.openxmlformats.org/officeDocument/2006/relationships/revisionLog" Target="revisionLog216.xml"/><Relationship Id="rId450" Type="http://schemas.openxmlformats.org/officeDocument/2006/relationships/revisionLog" Target="revisionLog368.xml"/><Relationship Id="rId103" Type="http://schemas.openxmlformats.org/officeDocument/2006/relationships/revisionLog" Target="revisionLog34.xml"/><Relationship Id="rId124" Type="http://schemas.openxmlformats.org/officeDocument/2006/relationships/revisionLog" Target="revisionLog55.xml"/><Relationship Id="rId310" Type="http://schemas.openxmlformats.org/officeDocument/2006/relationships/revisionLog" Target="revisionLog238.xml"/><Relationship Id="rId70" Type="http://schemas.openxmlformats.org/officeDocument/2006/relationships/revisionLog" Target="revisionLog1131.xml"/><Relationship Id="rId91" Type="http://schemas.openxmlformats.org/officeDocument/2006/relationships/revisionLog" Target="revisionLog22.xml"/><Relationship Id="rId145" Type="http://schemas.openxmlformats.org/officeDocument/2006/relationships/revisionLog" Target="revisionLog80.xml"/><Relationship Id="rId166" Type="http://schemas.openxmlformats.org/officeDocument/2006/relationships/revisionLog" Target="revisionLog101.xml"/><Relationship Id="rId187" Type="http://schemas.openxmlformats.org/officeDocument/2006/relationships/revisionLog" Target="revisionLog1231.xml"/><Relationship Id="rId331" Type="http://schemas.openxmlformats.org/officeDocument/2006/relationships/revisionLog" Target="revisionLog259.xml"/><Relationship Id="rId352" Type="http://schemas.openxmlformats.org/officeDocument/2006/relationships/revisionLog" Target="revisionLog280.xml"/><Relationship Id="rId373" Type="http://schemas.openxmlformats.org/officeDocument/2006/relationships/revisionLog" Target="revisionLog301.xml"/><Relationship Id="rId394" Type="http://schemas.openxmlformats.org/officeDocument/2006/relationships/revisionLog" Target="revisionLog322.xml"/><Relationship Id="rId408" Type="http://schemas.openxmlformats.org/officeDocument/2006/relationships/revisionLog" Target="revisionLog330.xml"/><Relationship Id="rId429" Type="http://schemas.openxmlformats.org/officeDocument/2006/relationships/revisionLog" Target="revisionLog347.xml"/><Relationship Id="rId212" Type="http://schemas.openxmlformats.org/officeDocument/2006/relationships/revisionLog" Target="revisionLog147.xml"/><Relationship Id="rId233" Type="http://schemas.openxmlformats.org/officeDocument/2006/relationships/revisionLog" Target="revisionLog166.xml"/><Relationship Id="rId254" Type="http://schemas.openxmlformats.org/officeDocument/2006/relationships/revisionLog" Target="revisionLog185.xml"/><Relationship Id="rId440" Type="http://schemas.openxmlformats.org/officeDocument/2006/relationships/revisionLog" Target="revisionLog358.xml"/><Relationship Id="rId114" Type="http://schemas.openxmlformats.org/officeDocument/2006/relationships/revisionLog" Target="revisionLog45.xml"/><Relationship Id="rId275" Type="http://schemas.openxmlformats.org/officeDocument/2006/relationships/revisionLog" Target="revisionLog206.xml"/><Relationship Id="rId296" Type="http://schemas.openxmlformats.org/officeDocument/2006/relationships/revisionLog" Target="revisionLog224.xml"/><Relationship Id="rId300" Type="http://schemas.openxmlformats.org/officeDocument/2006/relationships/revisionLog" Target="revisionLog228.xml"/><Relationship Id="rId81" Type="http://schemas.openxmlformats.org/officeDocument/2006/relationships/revisionLog" Target="revisionLog124.xml"/><Relationship Id="rId135" Type="http://schemas.openxmlformats.org/officeDocument/2006/relationships/revisionLog" Target="revisionLog70.xml"/><Relationship Id="rId156" Type="http://schemas.openxmlformats.org/officeDocument/2006/relationships/revisionLog" Target="revisionLog91.xml"/><Relationship Id="rId177" Type="http://schemas.openxmlformats.org/officeDocument/2006/relationships/revisionLog" Target="revisionLog11311.xml"/><Relationship Id="rId198" Type="http://schemas.openxmlformats.org/officeDocument/2006/relationships/revisionLog" Target="revisionLog114.xml"/><Relationship Id="rId321" Type="http://schemas.openxmlformats.org/officeDocument/2006/relationships/revisionLog" Target="revisionLog249.xml"/><Relationship Id="rId342" Type="http://schemas.openxmlformats.org/officeDocument/2006/relationships/revisionLog" Target="revisionLog270.xml"/><Relationship Id="rId363" Type="http://schemas.openxmlformats.org/officeDocument/2006/relationships/revisionLog" Target="revisionLog291.xml"/><Relationship Id="rId384" Type="http://schemas.openxmlformats.org/officeDocument/2006/relationships/revisionLog" Target="revisionLog312.xml"/><Relationship Id="rId419" Type="http://schemas.openxmlformats.org/officeDocument/2006/relationships/revisionLog" Target="revisionLog341.xml"/><Relationship Id="rId202" Type="http://schemas.openxmlformats.org/officeDocument/2006/relationships/revisionLog" Target="revisionLog137.xml"/><Relationship Id="rId223" Type="http://schemas.openxmlformats.org/officeDocument/2006/relationships/revisionLog" Target="revisionLog156.xml"/><Relationship Id="rId244" Type="http://schemas.openxmlformats.org/officeDocument/2006/relationships/revisionLog" Target="revisionLog176.xml"/><Relationship Id="rId430" Type="http://schemas.openxmlformats.org/officeDocument/2006/relationships/revisionLog" Target="revisionLog348.xml"/><Relationship Id="rId265" Type="http://schemas.openxmlformats.org/officeDocument/2006/relationships/revisionLog" Target="revisionLog196.xml"/><Relationship Id="rId286" Type="http://schemas.openxmlformats.org/officeDocument/2006/relationships/revisionLog" Target="revisionLog217.xml"/><Relationship Id="rId451" Type="http://schemas.openxmlformats.org/officeDocument/2006/relationships/revisionLog" Target="revisionLog369.xml"/><Relationship Id="rId104" Type="http://schemas.openxmlformats.org/officeDocument/2006/relationships/revisionLog" Target="revisionLog35.xml"/><Relationship Id="rId125" Type="http://schemas.openxmlformats.org/officeDocument/2006/relationships/revisionLog" Target="revisionLog56.xml"/><Relationship Id="rId146" Type="http://schemas.openxmlformats.org/officeDocument/2006/relationships/revisionLog" Target="revisionLog81.xml"/><Relationship Id="rId167" Type="http://schemas.openxmlformats.org/officeDocument/2006/relationships/revisionLog" Target="revisionLog102.xml"/><Relationship Id="rId188" Type="http://schemas.openxmlformats.org/officeDocument/2006/relationships/revisionLog" Target="revisionLog1241.xml"/><Relationship Id="rId311" Type="http://schemas.openxmlformats.org/officeDocument/2006/relationships/revisionLog" Target="revisionLog239.xml"/><Relationship Id="rId332" Type="http://schemas.openxmlformats.org/officeDocument/2006/relationships/revisionLog" Target="revisionLog260.xml"/><Relationship Id="rId353" Type="http://schemas.openxmlformats.org/officeDocument/2006/relationships/revisionLog" Target="revisionLog281.xml"/><Relationship Id="rId374" Type="http://schemas.openxmlformats.org/officeDocument/2006/relationships/revisionLog" Target="revisionLog302.xml"/><Relationship Id="rId395" Type="http://schemas.openxmlformats.org/officeDocument/2006/relationships/revisionLog" Target="revisionLog134.xml"/><Relationship Id="rId409" Type="http://schemas.openxmlformats.org/officeDocument/2006/relationships/revisionLog" Target="revisionLog331.xml"/><Relationship Id="rId71" Type="http://schemas.openxmlformats.org/officeDocument/2006/relationships/revisionLog" Target="revisionLog2.xml"/><Relationship Id="rId92" Type="http://schemas.openxmlformats.org/officeDocument/2006/relationships/revisionLog" Target="revisionLog23.xml"/><Relationship Id="rId213" Type="http://schemas.openxmlformats.org/officeDocument/2006/relationships/revisionLog" Target="revisionLog148.xml"/><Relationship Id="rId234" Type="http://schemas.openxmlformats.org/officeDocument/2006/relationships/revisionLog" Target="revisionLog167.xml"/><Relationship Id="rId420" Type="http://schemas.openxmlformats.org/officeDocument/2006/relationships/revisionLog" Target="revisionLog342.xml"/><Relationship Id="rId255" Type="http://schemas.openxmlformats.org/officeDocument/2006/relationships/revisionLog" Target="revisionLog186.xml"/><Relationship Id="rId276" Type="http://schemas.openxmlformats.org/officeDocument/2006/relationships/revisionLog" Target="revisionLog207.xml"/><Relationship Id="rId297" Type="http://schemas.openxmlformats.org/officeDocument/2006/relationships/revisionLog" Target="revisionLog225.xml"/><Relationship Id="rId441" Type="http://schemas.openxmlformats.org/officeDocument/2006/relationships/revisionLog" Target="revisionLog359.xml"/><Relationship Id="rId115" Type="http://schemas.openxmlformats.org/officeDocument/2006/relationships/revisionLog" Target="revisionLog46.xml"/><Relationship Id="rId136" Type="http://schemas.openxmlformats.org/officeDocument/2006/relationships/revisionLog" Target="revisionLog71.xml"/><Relationship Id="rId157" Type="http://schemas.openxmlformats.org/officeDocument/2006/relationships/revisionLog" Target="revisionLog92.xml"/><Relationship Id="rId178" Type="http://schemas.openxmlformats.org/officeDocument/2006/relationships/revisionLog" Target="revisionLog1141.xml"/><Relationship Id="rId301" Type="http://schemas.openxmlformats.org/officeDocument/2006/relationships/revisionLog" Target="revisionLog229.xml"/><Relationship Id="rId322" Type="http://schemas.openxmlformats.org/officeDocument/2006/relationships/revisionLog" Target="revisionLog250.xml"/><Relationship Id="rId343" Type="http://schemas.openxmlformats.org/officeDocument/2006/relationships/revisionLog" Target="revisionLog271.xml"/><Relationship Id="rId364" Type="http://schemas.openxmlformats.org/officeDocument/2006/relationships/revisionLog" Target="revisionLog292.xml"/><Relationship Id="rId82" Type="http://schemas.openxmlformats.org/officeDocument/2006/relationships/revisionLog" Target="revisionLog1341.xml"/><Relationship Id="rId199" Type="http://schemas.openxmlformats.org/officeDocument/2006/relationships/revisionLog" Target="revisionLog13411.xml"/><Relationship Id="rId203" Type="http://schemas.openxmlformats.org/officeDocument/2006/relationships/revisionLog" Target="revisionLog138.xml"/><Relationship Id="rId385" Type="http://schemas.openxmlformats.org/officeDocument/2006/relationships/revisionLog" Target="revisionLog313.xml"/><Relationship Id="rId224" Type="http://schemas.openxmlformats.org/officeDocument/2006/relationships/revisionLog" Target="revisionLog157.xml"/><Relationship Id="rId245" Type="http://schemas.openxmlformats.org/officeDocument/2006/relationships/revisionLog" Target="revisionLog177.xml"/><Relationship Id="rId266" Type="http://schemas.openxmlformats.org/officeDocument/2006/relationships/revisionLog" Target="revisionLog197.xml"/><Relationship Id="rId287" Type="http://schemas.openxmlformats.org/officeDocument/2006/relationships/revisionLog" Target="revisionLog218.xml"/><Relationship Id="rId410" Type="http://schemas.openxmlformats.org/officeDocument/2006/relationships/revisionLog" Target="revisionLog332.xml"/><Relationship Id="rId431" Type="http://schemas.openxmlformats.org/officeDocument/2006/relationships/revisionLog" Target="revisionLog349.xml"/><Relationship Id="rId452" Type="http://schemas.openxmlformats.org/officeDocument/2006/relationships/revisionLog" Target="revisionLog370.xml"/><Relationship Id="rId105" Type="http://schemas.openxmlformats.org/officeDocument/2006/relationships/revisionLog" Target="revisionLog36.xml"/><Relationship Id="rId126" Type="http://schemas.openxmlformats.org/officeDocument/2006/relationships/revisionLog" Target="revisionLog1110.xml"/><Relationship Id="rId147" Type="http://schemas.openxmlformats.org/officeDocument/2006/relationships/revisionLog" Target="revisionLog82.xml"/><Relationship Id="rId168" Type="http://schemas.openxmlformats.org/officeDocument/2006/relationships/revisionLog" Target="revisionLog103.xml"/><Relationship Id="rId312" Type="http://schemas.openxmlformats.org/officeDocument/2006/relationships/revisionLog" Target="revisionLog240.xml"/><Relationship Id="rId333" Type="http://schemas.openxmlformats.org/officeDocument/2006/relationships/revisionLog" Target="revisionLog261.xml"/><Relationship Id="rId354" Type="http://schemas.openxmlformats.org/officeDocument/2006/relationships/revisionLog" Target="revisionLog282.xml"/><Relationship Id="rId72" Type="http://schemas.openxmlformats.org/officeDocument/2006/relationships/revisionLog" Target="revisionLog3.xml"/><Relationship Id="rId93" Type="http://schemas.openxmlformats.org/officeDocument/2006/relationships/revisionLog" Target="revisionLog24.xml"/><Relationship Id="rId189" Type="http://schemas.openxmlformats.org/officeDocument/2006/relationships/revisionLog" Target="revisionLog125.xml"/><Relationship Id="rId375" Type="http://schemas.openxmlformats.org/officeDocument/2006/relationships/revisionLog" Target="revisionLog303.xml"/><Relationship Id="rId396" Type="http://schemas.openxmlformats.org/officeDocument/2006/relationships/revisionLog" Target="revisionLog323.xml"/><Relationship Id="rId214" Type="http://schemas.openxmlformats.org/officeDocument/2006/relationships/revisionLog" Target="revisionLog149.xml"/><Relationship Id="rId235" Type="http://schemas.openxmlformats.org/officeDocument/2006/relationships/revisionLog" Target="revisionLog168.xml"/><Relationship Id="rId256" Type="http://schemas.openxmlformats.org/officeDocument/2006/relationships/revisionLog" Target="revisionLog187.xml"/><Relationship Id="rId277" Type="http://schemas.openxmlformats.org/officeDocument/2006/relationships/revisionLog" Target="revisionLog208.xml"/><Relationship Id="rId298" Type="http://schemas.openxmlformats.org/officeDocument/2006/relationships/revisionLog" Target="revisionLog226.xml"/><Relationship Id="rId400" Type="http://schemas.openxmlformats.org/officeDocument/2006/relationships/revisionLog" Target="revisionLog139.xml"/><Relationship Id="rId421" Type="http://schemas.openxmlformats.org/officeDocument/2006/relationships/revisionLog" Target="revisionLog343.xml"/><Relationship Id="rId442" Type="http://schemas.openxmlformats.org/officeDocument/2006/relationships/revisionLog" Target="revisionLog360.xml"/><Relationship Id="rId116" Type="http://schemas.openxmlformats.org/officeDocument/2006/relationships/revisionLog" Target="revisionLog47.xml"/><Relationship Id="rId137" Type="http://schemas.openxmlformats.org/officeDocument/2006/relationships/revisionLog" Target="revisionLog72.xml"/><Relationship Id="rId158" Type="http://schemas.openxmlformats.org/officeDocument/2006/relationships/revisionLog" Target="revisionLog93.xml"/><Relationship Id="rId302" Type="http://schemas.openxmlformats.org/officeDocument/2006/relationships/revisionLog" Target="revisionLog230.xml"/><Relationship Id="rId323" Type="http://schemas.openxmlformats.org/officeDocument/2006/relationships/revisionLog" Target="revisionLog251.xml"/><Relationship Id="rId344" Type="http://schemas.openxmlformats.org/officeDocument/2006/relationships/revisionLog" Target="revisionLog272.xml"/><Relationship Id="rId83" Type="http://schemas.openxmlformats.org/officeDocument/2006/relationships/revisionLog" Target="revisionLog144.xml"/><Relationship Id="rId179" Type="http://schemas.openxmlformats.org/officeDocument/2006/relationships/revisionLog" Target="revisionLog115.xml"/><Relationship Id="rId365" Type="http://schemas.openxmlformats.org/officeDocument/2006/relationships/revisionLog" Target="revisionLog293.xml"/><Relationship Id="rId386" Type="http://schemas.openxmlformats.org/officeDocument/2006/relationships/revisionLog" Target="revisionLog314.xml"/><Relationship Id="rId190" Type="http://schemas.openxmlformats.org/officeDocument/2006/relationships/revisionLog" Target="revisionLog126.xml"/><Relationship Id="rId204" Type="http://schemas.openxmlformats.org/officeDocument/2006/relationships/revisionLog" Target="revisionLog1391.xml"/><Relationship Id="rId225" Type="http://schemas.openxmlformats.org/officeDocument/2006/relationships/revisionLog" Target="revisionLog158.xml"/><Relationship Id="rId246" Type="http://schemas.openxmlformats.org/officeDocument/2006/relationships/revisionLog" Target="revisionLog178.xml"/><Relationship Id="rId267" Type="http://schemas.openxmlformats.org/officeDocument/2006/relationships/revisionLog" Target="revisionLog198.xml"/><Relationship Id="rId288" Type="http://schemas.openxmlformats.org/officeDocument/2006/relationships/revisionLog" Target="revisionLog219.xml"/><Relationship Id="rId411" Type="http://schemas.openxmlformats.org/officeDocument/2006/relationships/revisionLog" Target="revisionLog333.xml"/><Relationship Id="rId432" Type="http://schemas.openxmlformats.org/officeDocument/2006/relationships/revisionLog" Target="revisionLog350.xml"/><Relationship Id="rId453" Type="http://schemas.openxmlformats.org/officeDocument/2006/relationships/revisionLog" Target="revisionLog1.xml"/><Relationship Id="rId106" Type="http://schemas.openxmlformats.org/officeDocument/2006/relationships/revisionLog" Target="revisionLog37.xml"/><Relationship Id="rId127" Type="http://schemas.openxmlformats.org/officeDocument/2006/relationships/revisionLog" Target="revisionLog57.xml"/><Relationship Id="rId313" Type="http://schemas.openxmlformats.org/officeDocument/2006/relationships/revisionLog" Target="revisionLog241.xml"/><Relationship Id="rId73" Type="http://schemas.openxmlformats.org/officeDocument/2006/relationships/revisionLog" Target="revisionLog4.xml"/><Relationship Id="rId94" Type="http://schemas.openxmlformats.org/officeDocument/2006/relationships/revisionLog" Target="revisionLog25.xml"/><Relationship Id="rId148" Type="http://schemas.openxmlformats.org/officeDocument/2006/relationships/revisionLog" Target="revisionLog83.xml"/><Relationship Id="rId169" Type="http://schemas.openxmlformats.org/officeDocument/2006/relationships/revisionLog" Target="revisionLog104.xml"/><Relationship Id="rId334" Type="http://schemas.openxmlformats.org/officeDocument/2006/relationships/revisionLog" Target="revisionLog262.xml"/><Relationship Id="rId355" Type="http://schemas.openxmlformats.org/officeDocument/2006/relationships/revisionLog" Target="revisionLog283.xml"/><Relationship Id="rId376" Type="http://schemas.openxmlformats.org/officeDocument/2006/relationships/revisionLog" Target="revisionLog304.xml"/><Relationship Id="rId397" Type="http://schemas.openxmlformats.org/officeDocument/2006/relationships/revisionLog" Target="revisionLog324.xml"/><Relationship Id="rId180" Type="http://schemas.openxmlformats.org/officeDocument/2006/relationships/revisionLog" Target="revisionLog116.xml"/><Relationship Id="rId215" Type="http://schemas.openxmlformats.org/officeDocument/2006/relationships/revisionLog" Target="revisionLog150.xml"/><Relationship Id="rId236" Type="http://schemas.openxmlformats.org/officeDocument/2006/relationships/revisionLog" Target="revisionLog169.xml"/><Relationship Id="rId257" Type="http://schemas.openxmlformats.org/officeDocument/2006/relationships/revisionLog" Target="revisionLog188.xml"/><Relationship Id="rId278" Type="http://schemas.openxmlformats.org/officeDocument/2006/relationships/revisionLog" Target="revisionLog209.xml"/><Relationship Id="rId401" Type="http://schemas.openxmlformats.org/officeDocument/2006/relationships/revisionLog" Target="revisionLog1122.xml"/><Relationship Id="rId422" Type="http://schemas.openxmlformats.org/officeDocument/2006/relationships/revisionLog" Target="revisionLog344.xml"/><Relationship Id="rId443" Type="http://schemas.openxmlformats.org/officeDocument/2006/relationships/revisionLog" Target="revisionLog361.xml"/><Relationship Id="rId303" Type="http://schemas.openxmlformats.org/officeDocument/2006/relationships/revisionLog" Target="revisionLog23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0C6D242-6F9F-4844-9C58-3060CB08A4E5}" diskRevisions="1" revisionId="6003" version="454">
  <header guid="{83DB8D82-D2D2-45F8-871D-CC7482835EA0}" dateTime="2021-11-11T12:07:23" maxSheetId="2" userName="Пользователь" r:id="rId65" minRId="588" maxRId="589">
    <sheetIdMap count="1">
      <sheetId val="1"/>
    </sheetIdMap>
  </header>
  <header guid="{14BBF260-2EA4-4035-811C-19DEB0ECC5D8}" dateTime="2021-11-11T14:15:19" maxSheetId="2" userName="Пользователь" r:id="rId66" minRId="590" maxRId="592">
    <sheetIdMap count="1">
      <sheetId val="1"/>
    </sheetIdMap>
  </header>
  <header guid="{070CF30A-4743-40DD-9717-94D54D3B9533}" dateTime="2021-11-11T15:03:45" maxSheetId="2" userName="Пользователь" r:id="rId67" minRId="593" maxRId="595">
    <sheetIdMap count="1">
      <sheetId val="1"/>
    </sheetIdMap>
  </header>
  <header guid="{D8C6F908-6458-43F3-8EEB-31468A5E61BA}" dateTime="2021-11-11T15:11:56" maxSheetId="2" userName="Пользователь" r:id="rId68" minRId="596" maxRId="601">
    <sheetIdMap count="1">
      <sheetId val="1"/>
    </sheetIdMap>
  </header>
  <header guid="{411A7919-8420-469C-A831-FB203C279220}" dateTime="2021-11-12T08:45:25" maxSheetId="2" userName="Пользователь" r:id="rId69" minRId="602">
    <sheetIdMap count="1">
      <sheetId val="1"/>
    </sheetIdMap>
  </header>
  <header guid="{65D36D64-6ED3-4646-B105-3713EA2540D7}" dateTime="2021-11-12T09:07:07" maxSheetId="2" userName="Ольга Владимировна" r:id="rId70" minRId="603" maxRId="668">
    <sheetIdMap count="1">
      <sheetId val="1"/>
    </sheetIdMap>
  </header>
  <header guid="{9E7F9104-8AFA-4203-9E22-BCFB83E3F53F}" dateTime="2021-12-17T15:47:10" maxSheetId="2" userName="Пользователь" r:id="rId71" minRId="669" maxRId="680">
    <sheetIdMap count="1">
      <sheetId val="1"/>
    </sheetIdMap>
  </header>
  <header guid="{8EFB0A59-9D24-4193-96F7-DAC90694F071}" dateTime="2021-12-17T15:49:46" maxSheetId="2" userName="Пользователь" r:id="rId72" minRId="681" maxRId="698">
    <sheetIdMap count="1">
      <sheetId val="1"/>
    </sheetIdMap>
  </header>
  <header guid="{021AFAFB-D204-4FFF-A857-0F8C21A454B2}" dateTime="2021-12-17T15:50:10" maxSheetId="2" userName="Пользователь" r:id="rId73" minRId="699">
    <sheetIdMap count="1">
      <sheetId val="1"/>
    </sheetIdMap>
  </header>
  <header guid="{990402CB-063B-4B1B-9D24-1B8971AFBBED}" dateTime="2021-12-17T15:56:49" maxSheetId="2" userName="Пользователь" r:id="rId74" minRId="700" maxRId="703">
    <sheetIdMap count="1">
      <sheetId val="1"/>
    </sheetIdMap>
  </header>
  <header guid="{5859786A-70BB-4F03-8849-53C1551B266E}" dateTime="2021-12-17T15:57:32" maxSheetId="2" userName="Пользователь" r:id="rId75" minRId="706">
    <sheetIdMap count="1">
      <sheetId val="1"/>
    </sheetIdMap>
  </header>
  <header guid="{5813E07B-79F6-45D7-925E-25B81B52BBC1}" dateTime="2021-12-17T16:04:00" maxSheetId="2" userName="Пользователь" r:id="rId76" minRId="707" maxRId="708">
    <sheetIdMap count="1">
      <sheetId val="1"/>
    </sheetIdMap>
  </header>
  <header guid="{17344EF9-32F8-403A-902B-FA33DD8F5125}" dateTime="2021-12-17T16:05:54" maxSheetId="2" userName="Пользователь" r:id="rId77" minRId="709" maxRId="711">
    <sheetIdMap count="1">
      <sheetId val="1"/>
    </sheetIdMap>
  </header>
  <header guid="{487CCA13-FC78-43DD-85B2-73EFB957528A}" dateTime="2021-12-17T16:07:44" maxSheetId="2" userName="Пользователь" r:id="rId78" minRId="712">
    <sheetIdMap count="1">
      <sheetId val="1"/>
    </sheetIdMap>
  </header>
  <header guid="{95B80785-9617-4A6A-B953-2187BF91EB6D}" dateTime="2021-12-17T17:20:11" maxSheetId="2" userName="Пользователь" r:id="rId79" minRId="713" maxRId="717">
    <sheetIdMap count="1">
      <sheetId val="1"/>
    </sheetIdMap>
  </header>
  <header guid="{5407063D-7DBC-4B82-A628-46372C9840AE}" dateTime="2021-12-17T19:58:12" maxSheetId="2" userName="Пользователь" r:id="rId80" minRId="718">
    <sheetIdMap count="1">
      <sheetId val="1"/>
    </sheetIdMap>
  </header>
  <header guid="{5FF7AF38-D607-4FD8-84FB-122E06C392AE}" dateTime="2021-12-17T20:04:46" maxSheetId="2" userName="Пользователь" r:id="rId81" minRId="721" maxRId="722">
    <sheetIdMap count="1">
      <sheetId val="1"/>
    </sheetIdMap>
  </header>
  <header guid="{206335CE-1D35-4FBF-9648-B9631BDAD052}" dateTime="2021-12-20T09:43:05" maxSheetId="2" userName="Пользователь" r:id="rId82" minRId="723" maxRId="744">
    <sheetIdMap count="1">
      <sheetId val="1"/>
    </sheetIdMap>
  </header>
  <header guid="{42F1029F-CE16-46EA-9C48-0EBD6753CE2F}" dateTime="2021-12-20T09:57:51" maxSheetId="2" userName="Пользователь" r:id="rId83" minRId="745" maxRId="746">
    <sheetIdMap count="1">
      <sheetId val="1"/>
    </sheetIdMap>
  </header>
  <header guid="{D1C98A93-4E09-41FD-9FE9-209053DF33DD}" dateTime="2021-12-20T10:05:55" maxSheetId="2" userName="Пользователь" r:id="rId84" minRId="749" maxRId="752">
    <sheetIdMap count="1">
      <sheetId val="1"/>
    </sheetIdMap>
  </header>
  <header guid="{7754CD81-2AC5-4C77-A8EA-D61E4D8EC85D}" dateTime="2021-12-20T10:18:27" maxSheetId="2" userName="Пользователь" r:id="rId85" minRId="755" maxRId="756">
    <sheetIdMap count="1">
      <sheetId val="1"/>
    </sheetIdMap>
  </header>
  <header guid="{3D23F655-A43D-42AB-8E99-97D203E24FD9}" dateTime="2021-12-20T13:12:12" maxSheetId="2" userName="Пользователь" r:id="rId86" minRId="757" maxRId="758">
    <sheetIdMap count="1">
      <sheetId val="1"/>
    </sheetIdMap>
  </header>
  <header guid="{4FCFDF39-148A-4253-B515-05F77AA5C391}" dateTime="2021-12-20T15:28:31" maxSheetId="2" userName="Пользователь" r:id="rId87" minRId="759" maxRId="760">
    <sheetIdMap count="1">
      <sheetId val="1"/>
    </sheetIdMap>
  </header>
  <header guid="{8DDA2003-B059-42C2-964E-2DB4361E46A0}" dateTime="2021-12-20T16:21:13" maxSheetId="2" userName="Пользователь" r:id="rId88" minRId="763" maxRId="764">
    <sheetIdMap count="1">
      <sheetId val="1"/>
    </sheetIdMap>
  </header>
  <header guid="{70728FE7-A33C-4540-8197-EBBBA0202435}" dateTime="2021-12-21T15:08:39" maxSheetId="2" userName="Пользователь" r:id="rId89" minRId="765" maxRId="778">
    <sheetIdMap count="1">
      <sheetId val="1"/>
    </sheetIdMap>
  </header>
  <header guid="{6D6864E0-6CAE-4312-BD21-A9FEEEA38806}" dateTime="2021-12-21T15:21:12" maxSheetId="2" userName="Пользователь" r:id="rId90" minRId="781" maxRId="801">
    <sheetIdMap count="1">
      <sheetId val="1"/>
    </sheetIdMap>
  </header>
  <header guid="{7B3BD770-6C13-4D11-9D85-74D59C4D52E8}" dateTime="2021-12-21T15:33:00" maxSheetId="2" userName="Пользователь" r:id="rId91" minRId="802">
    <sheetIdMap count="1">
      <sheetId val="1"/>
    </sheetIdMap>
  </header>
  <header guid="{07D88BBF-EA92-4E0A-ACC7-64819DBA5121}" dateTime="2021-12-21T16:54:42" maxSheetId="2" userName="Пользователь" r:id="rId92" minRId="805">
    <sheetIdMap count="1">
      <sheetId val="1"/>
    </sheetIdMap>
  </header>
  <header guid="{03CDB89E-690F-43A7-A119-FB5BFA35D8C7}" dateTime="2021-12-21T16:54:52" maxSheetId="2" userName="Пользователь" r:id="rId93" minRId="806">
    <sheetIdMap count="1">
      <sheetId val="1"/>
    </sheetIdMap>
  </header>
  <header guid="{E83B9E5E-3BEB-4C23-87D2-8BD800A87310}" dateTime="2021-12-21T17:05:39" maxSheetId="2" userName="Пользователь" r:id="rId94" minRId="807" maxRId="840">
    <sheetIdMap count="1">
      <sheetId val="1"/>
    </sheetIdMap>
  </header>
  <header guid="{5A35D7F1-2B91-449D-BB1A-36A0B832661B}" dateTime="2021-12-21T17:06:26" maxSheetId="2" userName="Пользователь" r:id="rId95" minRId="841">
    <sheetIdMap count="1">
      <sheetId val="1"/>
    </sheetIdMap>
  </header>
  <header guid="{F744E207-5D0D-4042-B42A-F6376B6EA9DF}" dateTime="2021-12-21T17:08:30" maxSheetId="2" userName="Пользователь" r:id="rId96" minRId="842" maxRId="858">
    <sheetIdMap count="1">
      <sheetId val="1"/>
    </sheetIdMap>
  </header>
  <header guid="{FF031E5F-9C4D-4354-B3BF-8A44AADCEF4D}" dateTime="2021-12-21T17:09:08" maxSheetId="2" userName="Пользователь" r:id="rId97" minRId="859">
    <sheetIdMap count="1">
      <sheetId val="1"/>
    </sheetIdMap>
  </header>
  <header guid="{A0C4002A-D147-4896-9016-FE562FF65A73}" dateTime="2021-12-21T17:11:56" maxSheetId="2" userName="Пользователь" r:id="rId98" minRId="860" maxRId="873">
    <sheetIdMap count="1">
      <sheetId val="1"/>
    </sheetIdMap>
  </header>
  <header guid="{ED8146E7-D4CD-45C4-A14D-DD8516811153}" dateTime="2021-12-21T18:32:56" maxSheetId="2" userName="Пользователь" r:id="rId99" minRId="874" maxRId="889">
    <sheetIdMap count="1">
      <sheetId val="1"/>
    </sheetIdMap>
  </header>
  <header guid="{97554DA6-04A7-412A-ADE2-A75645A68E0C}" dateTime="2021-12-21T20:00:42" maxSheetId="2" userName="Пользователь" r:id="rId100" minRId="890" maxRId="892">
    <sheetIdMap count="1">
      <sheetId val="1"/>
    </sheetIdMap>
  </header>
  <header guid="{68141484-C618-4686-A34F-9E26E25B7196}" dateTime="2021-12-21T20:02:44" maxSheetId="2" userName="Пользователь" r:id="rId101">
    <sheetIdMap count="1">
      <sheetId val="1"/>
    </sheetIdMap>
  </header>
  <header guid="{BA645E81-B2B5-445B-99C6-F0B22BD0E517}" dateTime="2021-12-22T09:26:36" maxSheetId="2" userName="Пользователь" r:id="rId102" minRId="893">
    <sheetIdMap count="1">
      <sheetId val="1"/>
    </sheetIdMap>
  </header>
  <header guid="{18E81754-49AA-4D4E-8E7D-11363EAA5478}" dateTime="2021-12-22T09:29:42" maxSheetId="2" userName="Пользователь" r:id="rId103">
    <sheetIdMap count="1">
      <sheetId val="1"/>
    </sheetIdMap>
  </header>
  <header guid="{E4A76BDC-DBF7-48A0-BA99-0A2DBB2AACB4}" dateTime="2021-12-22T09:31:16" maxSheetId="2" userName="Пользователь" r:id="rId104" minRId="894" maxRId="899">
    <sheetIdMap count="1">
      <sheetId val="1"/>
    </sheetIdMap>
  </header>
  <header guid="{D61CE0E8-3A27-480C-A596-166556FAF964}" dateTime="2021-12-22T09:31:46" maxSheetId="2" userName="Пользователь" r:id="rId105" minRId="900">
    <sheetIdMap count="1">
      <sheetId val="1"/>
    </sheetIdMap>
  </header>
  <header guid="{6CC4B0A1-7C2B-4441-983B-009720912615}" dateTime="2021-12-22T09:35:07" maxSheetId="2" userName="Пользователь" r:id="rId106" minRId="901">
    <sheetIdMap count="1">
      <sheetId val="1"/>
    </sheetIdMap>
  </header>
  <header guid="{4E508FF6-DFAA-4C0C-9241-3BC1E2FBBA7E}" dateTime="2021-12-22T09:36:33" maxSheetId="2" userName="Пользователь" r:id="rId107" minRId="902">
    <sheetIdMap count="1">
      <sheetId val="1"/>
    </sheetIdMap>
  </header>
  <header guid="{44CEB2A0-BDE9-4670-81D7-CAE6A16A4946}" dateTime="2021-12-22T09:58:12" maxSheetId="2" userName="Пользователь" r:id="rId108" minRId="903">
    <sheetIdMap count="1">
      <sheetId val="1"/>
    </sheetIdMap>
  </header>
  <header guid="{931D8939-B11A-493C-B120-CFE734DA3990}" dateTime="2021-12-22T10:00:32" maxSheetId="2" userName="Пользователь" r:id="rId109" minRId="904">
    <sheetIdMap count="1">
      <sheetId val="1"/>
    </sheetIdMap>
  </header>
  <header guid="{5605E337-CFEB-4D42-BFE1-B1FC6A394A66}" dateTime="2021-12-22T10:41:13" maxSheetId="2" userName="Пользователь" r:id="rId110" minRId="905" maxRId="918">
    <sheetIdMap count="1">
      <sheetId val="1"/>
    </sheetIdMap>
  </header>
  <header guid="{AB2D7F32-5FE3-47D4-AA8F-7E082086118E}" dateTime="2021-12-22T11:09:33" maxSheetId="2" userName="Пользователь" r:id="rId111" minRId="921" maxRId="950">
    <sheetIdMap count="1">
      <sheetId val="1"/>
    </sheetIdMap>
  </header>
  <header guid="{3950361D-2699-401E-BBF5-6259D2401DB9}" dateTime="2021-12-22T11:23:07" maxSheetId="2" userName="Пользователь" r:id="rId112" minRId="951" maxRId="952">
    <sheetIdMap count="1">
      <sheetId val="1"/>
    </sheetIdMap>
  </header>
  <header guid="{817CFCC3-4906-4D02-AEBA-A6ECF29992E7}" dateTime="2021-12-22T14:27:06" maxSheetId="2" userName="Пользователь" r:id="rId113" minRId="953">
    <sheetIdMap count="1">
      <sheetId val="1"/>
    </sheetIdMap>
  </header>
  <header guid="{1F95E3B0-F915-4D41-B85E-E4C7F6F98DF5}" dateTime="2021-12-22T15:24:36" maxSheetId="2" userName="Пользователь" r:id="rId114" minRId="954">
    <sheetIdMap count="1">
      <sheetId val="1"/>
    </sheetIdMap>
  </header>
  <header guid="{6F3E9D6D-92D1-4C7B-9790-605D16F16D4E}" dateTime="2021-12-23T16:31:21" maxSheetId="2" userName="Пользователь" r:id="rId115" minRId="955" maxRId="956">
    <sheetIdMap count="1">
      <sheetId val="1"/>
    </sheetIdMap>
  </header>
  <header guid="{9EB71520-97BD-4093-BEA0-13D8905C81E6}" dateTime="2022-01-11T14:53:48" maxSheetId="2" userName="Пользователь" r:id="rId116" minRId="957" maxRId="1004">
    <sheetIdMap count="1">
      <sheetId val="1"/>
    </sheetIdMap>
  </header>
  <header guid="{642FFDC4-8F7C-46C2-B18E-C55F261EFCE1}" dateTime="2022-01-11T14:54:26" maxSheetId="2" userName="Пользователь" r:id="rId117" minRId="1005" maxRId="1006">
    <sheetIdMap count="1">
      <sheetId val="1"/>
    </sheetIdMap>
  </header>
  <header guid="{3B2D5492-30BE-486C-96FB-83DA86708AE0}" dateTime="2022-01-11T15:26:39" maxSheetId="2" userName="Пользователь" r:id="rId118" minRId="1007" maxRId="1009">
    <sheetIdMap count="1">
      <sheetId val="1"/>
    </sheetIdMap>
  </header>
  <header guid="{4B970A68-6819-4061-A9EE-81AB551766BB}" dateTime="2022-01-11T15:32:34" maxSheetId="2" userName="Пользователь" r:id="rId119" minRId="1010" maxRId="1055">
    <sheetIdMap count="1">
      <sheetId val="1"/>
    </sheetIdMap>
  </header>
  <header guid="{9FE52894-7C72-470C-A708-AE1E48941466}" dateTime="2022-01-12T08:20:57" maxSheetId="2" userName="Пользователь" r:id="rId120" minRId="1056" maxRId="1057">
    <sheetIdMap count="1">
      <sheetId val="1"/>
    </sheetIdMap>
  </header>
  <header guid="{C7AFABB9-2FAE-4E7C-9BBC-22328AB4352C}" dateTime="2022-01-12T08:29:49" maxSheetId="2" userName="Пользователь" r:id="rId121" minRId="1058" maxRId="1070">
    <sheetIdMap count="1">
      <sheetId val="1"/>
    </sheetIdMap>
  </header>
  <header guid="{3DA37235-E91E-4055-BD32-D85D7C3D564F}" dateTime="2022-01-12T08:30:42" maxSheetId="2" userName="Пользователь" r:id="rId122" minRId="1073" maxRId="1074">
    <sheetIdMap count="1">
      <sheetId val="1"/>
    </sheetIdMap>
  </header>
  <header guid="{2ECF3476-A334-4BAB-A12B-66B4F4BC2CC3}" dateTime="2022-01-12T08:32:33" maxSheetId="2" userName="Пользователь" r:id="rId123" minRId="1075" maxRId="1077">
    <sheetIdMap count="1">
      <sheetId val="1"/>
    </sheetIdMap>
  </header>
  <header guid="{684B7A90-157C-4C87-AF49-9A52D9C418E0}" dateTime="2022-01-12T08:34:55" maxSheetId="2" userName="Пользователь" r:id="rId124" minRId="1078" maxRId="1088">
    <sheetIdMap count="1">
      <sheetId val="1"/>
    </sheetIdMap>
  </header>
  <header guid="{C3DC2896-388F-4F44-BD36-4478CC044D86}" dateTime="2022-01-12T08:42:33" maxSheetId="2" userName="Пользователь" r:id="rId125" minRId="1089" maxRId="1104">
    <sheetIdMap count="1">
      <sheetId val="1"/>
    </sheetIdMap>
  </header>
  <header guid="{3D3540FE-17E0-4D98-BEFE-4ED590AF712C}" dateTime="2022-01-12T16:15:20" maxSheetId="2" userName="User" r:id="rId126" minRId="1105">
    <sheetIdMap count="1">
      <sheetId val="1"/>
    </sheetIdMap>
  </header>
  <header guid="{145FB856-4ACF-4F6A-B69B-EF91F26F6633}" dateTime="2022-03-01T15:17:08" maxSheetId="2" userName="Пользователь" r:id="rId127" minRId="1108" maxRId="1136">
    <sheetIdMap count="1">
      <sheetId val="1"/>
    </sheetIdMap>
  </header>
  <header guid="{64CF6AB8-8F36-4DDA-917D-7C11F83C49B9}" dateTime="2022-03-01T15:19:46" maxSheetId="2" userName="Пользователь" r:id="rId128" minRId="1137" maxRId="1151">
    <sheetIdMap count="1">
      <sheetId val="1"/>
    </sheetIdMap>
  </header>
  <header guid="{4F94C221-424C-4C0D-A94F-956FB03B0A44}" dateTime="2022-03-01T15:20:40" maxSheetId="2" userName="Пользователь" r:id="rId129" minRId="1152" maxRId="1153">
    <sheetIdMap count="1">
      <sheetId val="1"/>
    </sheetIdMap>
  </header>
  <header guid="{DF3AEDD4-7371-4AF9-A3CD-961BE9846FCB}" dateTime="2022-03-01T15:51:54" maxSheetId="2" userName="Пользователь" r:id="rId130" minRId="1154" maxRId="1155">
    <sheetIdMap count="1">
      <sheetId val="1"/>
    </sheetIdMap>
  </header>
  <header guid="{885F9315-EC1D-464F-AE51-13D527AA9ACD}" dateTime="2022-03-01T15:55:36" maxSheetId="2" userName="Пользователь" r:id="rId131" minRId="1156" maxRId="1177">
    <sheetIdMap count="1">
      <sheetId val="1"/>
    </sheetIdMap>
  </header>
  <header guid="{97826E96-7891-4416-99EF-6BB85441E59D}" dateTime="2022-03-01T15:58:39" maxSheetId="2" userName="Пользователь" r:id="rId132" minRId="1178" maxRId="1180">
    <sheetIdMap count="1">
      <sheetId val="1"/>
    </sheetIdMap>
  </header>
  <header guid="{8C7AC903-034C-45DB-B0CB-61180A5C7BE4}" dateTime="2022-03-01T16:03:03" maxSheetId="2" userName="Пользователь" r:id="rId133" minRId="1181" maxRId="1206">
    <sheetIdMap count="1">
      <sheetId val="1"/>
    </sheetIdMap>
  </header>
  <header guid="{191C2F9B-69AD-486C-91D1-AF7B2F06D46A}" dateTime="2022-03-01T16:06:17" maxSheetId="2" userName="Пользователь" r:id="rId134" minRId="1207" maxRId="1217">
    <sheetIdMap count="1">
      <sheetId val="1"/>
    </sheetIdMap>
  </header>
  <header guid="{66427086-C303-45F6-8629-7EA7DB1F7EAB}" dateTime="2022-03-01T16:07:28" maxSheetId="2" userName="Пользователь" r:id="rId135" minRId="1218" maxRId="1221">
    <sheetIdMap count="1">
      <sheetId val="1"/>
    </sheetIdMap>
  </header>
  <header guid="{B60F4787-4034-4E0C-B44E-C99E8822DF72}" dateTime="2022-03-01T16:11:32" maxSheetId="2" userName="Пользователь" r:id="rId136" minRId="1224" maxRId="1237">
    <sheetIdMap count="1">
      <sheetId val="1"/>
    </sheetIdMap>
  </header>
  <header guid="{15EAF1B9-A3D4-4C74-9684-D640D56B1543}" dateTime="2022-03-01T16:14:52" maxSheetId="2" userName="Пользователь" r:id="rId137" minRId="1238" maxRId="1242">
    <sheetIdMap count="1">
      <sheetId val="1"/>
    </sheetIdMap>
  </header>
  <header guid="{D1E9BFF0-3263-4F3F-833E-AA709626F88E}" dateTime="2022-03-01T16:18:22" maxSheetId="2" userName="Пользователь" r:id="rId138" minRId="1243" maxRId="1258">
    <sheetIdMap count="1">
      <sheetId val="1"/>
    </sheetIdMap>
  </header>
  <header guid="{D999884F-6D5B-4E08-8123-5F43A121397B}" dateTime="2022-03-01T16:20:24" maxSheetId="2" userName="Пользователь" r:id="rId139" minRId="1261" maxRId="1267">
    <sheetIdMap count="1">
      <sheetId val="1"/>
    </sheetIdMap>
  </header>
  <header guid="{F4E07A3C-01C5-4AA2-957D-78E4586BCF9F}" dateTime="2022-03-01T16:24:27" maxSheetId="2" userName="Пользователь" r:id="rId140" minRId="1268" maxRId="1277">
    <sheetIdMap count="1">
      <sheetId val="1"/>
    </sheetIdMap>
  </header>
  <header guid="{9A1AADEB-67AB-4A13-B3DE-E94F7209324E}" dateTime="2022-03-30T11:18:49" maxSheetId="2" userName="Пользователь" r:id="rId141" minRId="1278" maxRId="1287">
    <sheetIdMap count="1">
      <sheetId val="1"/>
    </sheetIdMap>
  </header>
  <header guid="{C1A4EFFF-C08F-4D32-B1F5-E7D32A2888B2}" dateTime="2022-03-30T11:23:07" maxSheetId="2" userName="Пользователь" r:id="rId142" minRId="1288" maxRId="1301">
    <sheetIdMap count="1">
      <sheetId val="1"/>
    </sheetIdMap>
  </header>
  <header guid="{01C201CE-C456-4773-B45B-0793AEF9AC03}" dateTime="2022-03-30T11:24:37" maxSheetId="2" userName="Пользователь" r:id="rId143" minRId="1304" maxRId="1306">
    <sheetIdMap count="1">
      <sheetId val="1"/>
    </sheetIdMap>
  </header>
  <header guid="{EFEDBF21-C68E-44A3-B5F3-AB88BD0664F2}" dateTime="2022-03-30T11:27:47" maxSheetId="2" userName="Пользователь" r:id="rId144" minRId="1307" maxRId="1337">
    <sheetIdMap count="1">
      <sheetId val="1"/>
    </sheetIdMap>
  </header>
  <header guid="{775C81EC-9B40-42A9-9631-41399E777483}" dateTime="2022-03-30T11:31:22" maxSheetId="2" userName="Пользователь" r:id="rId145" minRId="1340" maxRId="1354">
    <sheetIdMap count="1">
      <sheetId val="1"/>
    </sheetIdMap>
  </header>
  <header guid="{0D36FEFA-8FFF-48F1-8B39-E08219D7C4EC}" dateTime="2022-03-30T11:38:09" maxSheetId="2" userName="Пользователь" r:id="rId146" minRId="1355" maxRId="1393">
    <sheetIdMap count="1">
      <sheetId val="1"/>
    </sheetIdMap>
  </header>
  <header guid="{22FC1EF9-3D44-40F5-BC47-0BCED9C27CB6}" dateTime="2022-03-30T11:43:21" maxSheetId="2" userName="Пользователь" r:id="rId147" minRId="1396" maxRId="1424">
    <sheetIdMap count="1">
      <sheetId val="1"/>
    </sheetIdMap>
  </header>
  <header guid="{388134DA-DDE7-4C7D-82FA-6490DCB8BFD2}" dateTime="2022-03-30T11:43:31" maxSheetId="2" userName="Пользователь" r:id="rId148" minRId="1427">
    <sheetIdMap count="1">
      <sheetId val="1"/>
    </sheetIdMap>
  </header>
  <header guid="{B5C03F79-0E91-4255-874E-2F19663F80D8}" dateTime="2022-03-30T11:45:41" maxSheetId="2" userName="Пользователь" r:id="rId149" minRId="1428" maxRId="1430">
    <sheetIdMap count="1">
      <sheetId val="1"/>
    </sheetIdMap>
  </header>
  <header guid="{B1C7B4B4-28ED-413B-8CE3-050323CFA7B2}" dateTime="2022-03-30T11:46:00" maxSheetId="2" userName="Пользователь" r:id="rId150" minRId="1431">
    <sheetIdMap count="1">
      <sheetId val="1"/>
    </sheetIdMap>
  </header>
  <header guid="{28680ED8-4F6C-4DD5-8D57-C6CEB644A9DF}" dateTime="2022-03-30T11:49:18" maxSheetId="2" userName="Пользователь" r:id="rId151" minRId="1432" maxRId="1446">
    <sheetIdMap count="1">
      <sheetId val="1"/>
    </sheetIdMap>
  </header>
  <header guid="{8769AF4E-7D3C-4B0B-85F1-9B6ACE3499C0}" dateTime="2022-03-30T11:52:45" maxSheetId="2" userName="Пользователь" r:id="rId152" minRId="1447" maxRId="1454">
    <sheetIdMap count="1">
      <sheetId val="1"/>
    </sheetIdMap>
  </header>
  <header guid="{51E69B2C-3BB7-4875-946A-1FB89390CEF3}" dateTime="2022-03-30T11:54:46" maxSheetId="2" userName="Пользователь" r:id="rId153" minRId="1457" maxRId="1461">
    <sheetIdMap count="1">
      <sheetId val="1"/>
    </sheetIdMap>
  </header>
  <header guid="{A3D462CE-8838-4445-9095-C75F7769317E}" dateTime="2022-03-30T13:25:13" maxSheetId="2" userName="Пользователь" r:id="rId154" minRId="1462" maxRId="1485">
    <sheetIdMap count="1">
      <sheetId val="1"/>
    </sheetIdMap>
  </header>
  <header guid="{DD31A22D-BAD8-4832-A039-6BF5CB622022}" dateTime="2022-03-30T13:26:12" maxSheetId="2" userName="Пользователь" r:id="rId155" minRId="1486">
    <sheetIdMap count="1">
      <sheetId val="1"/>
    </sheetIdMap>
  </header>
  <header guid="{9BDA9910-F669-49C0-94C5-3C4F9E04986E}" dateTime="2022-03-30T13:29:59" maxSheetId="2" userName="Пользователь" r:id="rId156" minRId="1487" maxRId="1505">
    <sheetIdMap count="1">
      <sheetId val="1"/>
    </sheetIdMap>
  </header>
  <header guid="{EF47A611-B23C-46FE-AE35-C54FB537A5F3}" dateTime="2022-03-30T13:32:18" maxSheetId="2" userName="Пользователь" r:id="rId157" minRId="1508" maxRId="1519">
    <sheetIdMap count="1">
      <sheetId val="1"/>
    </sheetIdMap>
  </header>
  <header guid="{3ED53BE9-C1DF-44C1-AD36-4965309C3B6D}" dateTime="2022-03-30T13:56:05" maxSheetId="2" userName="Пользователь" r:id="rId158" minRId="1520" maxRId="1541">
    <sheetIdMap count="1">
      <sheetId val="1"/>
    </sheetIdMap>
  </header>
  <header guid="{292AF73B-45C0-491E-B182-40DF4740AAAC}" dateTime="2022-03-30T14:00:35" maxSheetId="2" userName="Пользователь" r:id="rId159" minRId="1542" maxRId="1557">
    <sheetIdMap count="1">
      <sheetId val="1"/>
    </sheetIdMap>
  </header>
  <header guid="{E55D61EA-B440-4907-B0CF-35438EAAE3CD}" dateTime="2022-03-30T14:01:38" maxSheetId="2" userName="Пользователь" r:id="rId160" minRId="1560" maxRId="1565">
    <sheetIdMap count="1">
      <sheetId val="1"/>
    </sheetIdMap>
  </header>
  <header guid="{807F1D72-2156-4F32-99C9-A48B9C7A22C8}" dateTime="2022-03-30T14:05:41" maxSheetId="2" userName="Пользователь" r:id="rId161" minRId="1566" maxRId="1583">
    <sheetIdMap count="1">
      <sheetId val="1"/>
    </sheetIdMap>
  </header>
  <header guid="{F8DF3071-A7D4-401A-A51E-8E95BE48971E}" dateTime="2022-03-30T14:06:12" maxSheetId="2" userName="Пользователь" r:id="rId162" minRId="1584">
    <sheetIdMap count="1">
      <sheetId val="1"/>
    </sheetIdMap>
  </header>
  <header guid="{3C167524-A180-4245-B9E9-35100EF73C2E}" dateTime="2022-03-30T14:07:57" maxSheetId="2" userName="Пользователь" r:id="rId163" minRId="1585" maxRId="1602">
    <sheetIdMap count="1">
      <sheetId val="1"/>
    </sheetIdMap>
  </header>
  <header guid="{1D8EE04C-076D-4BE0-9B08-090AC5ECB728}" dateTime="2022-03-30T14:08:28" maxSheetId="2" userName="Пользователь" r:id="rId164" minRId="1603" maxRId="1604">
    <sheetIdMap count="1">
      <sheetId val="1"/>
    </sheetIdMap>
  </header>
  <header guid="{A681D9B8-73A6-4621-A8FA-E24E6E01107D}" dateTime="2022-03-30T14:08:40" maxSheetId="2" userName="Пользователь" r:id="rId165" minRId="1605">
    <sheetIdMap count="1">
      <sheetId val="1"/>
    </sheetIdMap>
  </header>
  <header guid="{8D80C526-673A-4E7C-B2EC-0C7C7245C64A}" dateTime="2022-03-30T14:08:50" maxSheetId="2" userName="Пользователь" r:id="rId166" minRId="1606">
    <sheetIdMap count="1">
      <sheetId val="1"/>
    </sheetIdMap>
  </header>
  <header guid="{38ACE1EA-2EA5-4B5A-9F9A-AC029A1CAA5B}" dateTime="2022-03-30T14:09:22" maxSheetId="2" userName="Пользователь" r:id="rId167" minRId="1607">
    <sheetIdMap count="1">
      <sheetId val="1"/>
    </sheetIdMap>
  </header>
  <header guid="{152578C0-6C42-4060-9709-756D9670CD41}" dateTime="2022-03-30T14:09:44" maxSheetId="2" userName="Пользователь" r:id="rId168" minRId="1608">
    <sheetIdMap count="1">
      <sheetId val="1"/>
    </sheetIdMap>
  </header>
  <header guid="{5DD06ADC-1793-4D78-BEE2-8EF506701318}" dateTime="2022-03-30T14:29:14" maxSheetId="2" userName="Пользователь" r:id="rId169" minRId="1609" maxRId="1620">
    <sheetIdMap count="1">
      <sheetId val="1"/>
    </sheetIdMap>
  </header>
  <header guid="{A76B19C5-324E-4570-80EF-B71919AEA45E}" dateTime="2022-03-30T14:32:24" maxSheetId="2" userName="Пользователь" r:id="rId170" minRId="1623" maxRId="1648">
    <sheetIdMap count="1">
      <sheetId val="1"/>
    </sheetIdMap>
  </header>
  <header guid="{96DD861D-60F4-4CEB-ACBA-2E3420BDEB7D}" dateTime="2022-03-30T14:37:33" maxSheetId="2" userName="Пользователь" r:id="rId171" minRId="1649" maxRId="1667">
    <sheetIdMap count="1">
      <sheetId val="1"/>
    </sheetIdMap>
  </header>
  <header guid="{9FC5067C-6058-4B56-A7B7-C57F65543DDD}" dateTime="2022-03-30T14:38:07" maxSheetId="2" userName="Пользователь" r:id="rId172" minRId="1668">
    <sheetIdMap count="1">
      <sheetId val="1"/>
    </sheetIdMap>
  </header>
  <header guid="{997FF3CE-93F4-4DEA-A0F3-80401CA5FEB2}" dateTime="2022-03-30T14:43:50" maxSheetId="2" userName="Пользователь" r:id="rId173" minRId="1669" maxRId="1753">
    <sheetIdMap count="1">
      <sheetId val="1"/>
    </sheetIdMap>
  </header>
  <header guid="{4732E56A-591D-4F2F-A2C6-1253F70DC59B}" dateTime="2022-03-30T14:44:15" maxSheetId="2" userName="Пользователь" r:id="rId174" minRId="1754" maxRId="1760">
    <sheetIdMap count="1">
      <sheetId val="1"/>
    </sheetIdMap>
  </header>
  <header guid="{7284BCFB-25CB-41E4-8114-30B760FCDA0A}" dateTime="2022-03-30T14:48:28" maxSheetId="2" userName="Пользователь" r:id="rId175" minRId="1761" maxRId="1763">
    <sheetIdMap count="1">
      <sheetId val="1"/>
    </sheetIdMap>
  </header>
  <header guid="{3F868B47-11E3-4D57-96C9-D115E476A6AB}" dateTime="2022-03-30T14:56:16" maxSheetId="2" userName="Пользователь" r:id="rId176" minRId="1764" maxRId="1774">
    <sheetIdMap count="1">
      <sheetId val="1"/>
    </sheetIdMap>
  </header>
  <header guid="{18E25DB6-BD19-41D1-B508-998120879687}" dateTime="2022-03-30T15:09:30" maxSheetId="2" userName="Пользователь" r:id="rId177" minRId="1775" maxRId="1780">
    <sheetIdMap count="1">
      <sheetId val="1"/>
    </sheetIdMap>
  </header>
  <header guid="{A56EFC53-3934-477D-A917-474D73F7F11B}" dateTime="2022-03-30T15:12:31" maxSheetId="2" userName="Пользователь" r:id="rId178" minRId="1781" maxRId="1786">
    <sheetIdMap count="1">
      <sheetId val="1"/>
    </sheetIdMap>
  </header>
  <header guid="{7741A535-EEB1-4136-8CEA-4253C178F2A6}" dateTime="2022-03-30T15:14:48" maxSheetId="2" userName="Пользователь" r:id="rId179" minRId="1787" maxRId="1788">
    <sheetIdMap count="1">
      <sheetId val="1"/>
    </sheetIdMap>
  </header>
  <header guid="{2F640853-A53B-41CF-BA99-3C7278462A2B}" dateTime="2022-03-30T15:16:13" maxSheetId="2" userName="Пользователь" r:id="rId180" minRId="1789">
    <sheetIdMap count="1">
      <sheetId val="1"/>
    </sheetIdMap>
  </header>
  <header guid="{E88E0C66-04C7-4AE1-AE9B-B43F3723FEFB}" dateTime="2022-03-30T15:18:45" maxSheetId="2" userName="Пользователь" r:id="rId181" minRId="1792" maxRId="1795">
    <sheetIdMap count="1">
      <sheetId val="1"/>
    </sheetIdMap>
  </header>
  <header guid="{AFDF5DE4-7A26-41C6-8883-DEC13C746E32}" dateTime="2022-03-30T15:19:50" maxSheetId="2" userName="Пользователь" r:id="rId182" minRId="1798">
    <sheetIdMap count="1">
      <sheetId val="1"/>
    </sheetIdMap>
  </header>
  <header guid="{16EDDC56-74C3-4803-B63A-7AD1DC66C117}" dateTime="2022-03-30T15:36:54" maxSheetId="2" userName="Пользователь" r:id="rId183" minRId="1801" maxRId="1802">
    <sheetIdMap count="1">
      <sheetId val="1"/>
    </sheetIdMap>
  </header>
  <header guid="{C93551DF-BA51-41AA-91E9-DF69C52AF9B0}" dateTime="2022-03-31T09:32:44" maxSheetId="2" userName="Пользователь" r:id="rId184" minRId="1803" maxRId="1804">
    <sheetIdMap count="1">
      <sheetId val="1"/>
    </sheetIdMap>
  </header>
  <header guid="{963A3E1E-E527-4EA0-95D0-B084B4F6CC4A}" dateTime="2022-04-11T10:16:47" maxSheetId="2" userName="Пользователь" r:id="rId185" minRId="1805" maxRId="1833">
    <sheetIdMap count="1">
      <sheetId val="1"/>
    </sheetIdMap>
  </header>
  <header guid="{63D4172E-A3D1-4784-8ED3-64C30D022E40}" dateTime="2022-04-11T10:22:41" maxSheetId="2" userName="Пользователь" r:id="rId186" minRId="1836" maxRId="1852">
    <sheetIdMap count="1">
      <sheetId val="1"/>
    </sheetIdMap>
  </header>
  <header guid="{38BC5376-78E9-459F-BA68-2AC2990D7D02}" dateTime="2022-04-11T10:22:50" maxSheetId="2" userName="Пользователь" r:id="rId187" minRId="1853">
    <sheetIdMap count="1">
      <sheetId val="1"/>
    </sheetIdMap>
  </header>
  <header guid="{0016D82B-319A-4062-953F-1A18BCA0F7B1}" dateTime="2022-04-11T10:27:46" maxSheetId="2" userName="Пользователь" r:id="rId188" minRId="1854" maxRId="1869">
    <sheetIdMap count="1">
      <sheetId val="1"/>
    </sheetIdMap>
  </header>
  <header guid="{1F3F7514-D5A8-42AB-B73E-4F00C1C455A8}" dateTime="2022-04-11T10:30:01" maxSheetId="2" userName="Пользователь" r:id="rId189" minRId="1870" maxRId="1874">
    <sheetIdMap count="1">
      <sheetId val="1"/>
    </sheetIdMap>
  </header>
  <header guid="{4E614DDD-5255-4435-96CB-548C3191A2CA}" dateTime="2022-04-11T10:36:20" maxSheetId="2" userName="Пользователь" r:id="rId190" minRId="1877" maxRId="1885">
    <sheetIdMap count="1">
      <sheetId val="1"/>
    </sheetIdMap>
  </header>
  <header guid="{D19B1509-89E5-41AD-BFB0-54EF6B6D73F1}" dateTime="2022-04-11T10:36:51" maxSheetId="2" userName="Пользователь" r:id="rId191" minRId="1886" maxRId="1893">
    <sheetIdMap count="1">
      <sheetId val="1"/>
    </sheetIdMap>
  </header>
  <header guid="{26CA6FD6-1C7F-457D-AC76-4C81E77E9005}" dateTime="2022-04-11T10:39:54" maxSheetId="2" userName="Пользователь" r:id="rId192" minRId="1894" maxRId="1896">
    <sheetIdMap count="1">
      <sheetId val="1"/>
    </sheetIdMap>
  </header>
  <header guid="{C8EFA6D1-FB5B-47A6-88E3-B9E280209DA6}" dateTime="2022-04-11T10:41:53" maxSheetId="2" userName="Пользователь" r:id="rId193" minRId="1897" maxRId="1899">
    <sheetIdMap count="1">
      <sheetId val="1"/>
    </sheetIdMap>
  </header>
  <header guid="{EEBD81F8-5E6B-415E-B874-79DA5EADA22E}" dateTime="2022-04-11T10:46:30" maxSheetId="2" userName="Пользователь" r:id="rId194" minRId="1900" maxRId="1903">
    <sheetIdMap count="1">
      <sheetId val="1"/>
    </sheetIdMap>
  </header>
  <header guid="{A9E3504D-0A02-4AB9-8147-F7659388FFA0}" dateTime="2022-04-11T10:56:30" maxSheetId="2" userName="Пользователь" r:id="rId195" minRId="1904">
    <sheetIdMap count="1">
      <sheetId val="1"/>
    </sheetIdMap>
  </header>
  <header guid="{7C900980-E7D6-4D99-9B39-D8C786B60F72}" dateTime="2022-04-11T11:51:01" maxSheetId="2" userName="Пользователь" r:id="rId196" minRId="1907">
    <sheetIdMap count="1">
      <sheetId val="1"/>
    </sheetIdMap>
  </header>
  <header guid="{548CFAC7-F460-46FD-B91A-C90FD3209AB7}" dateTime="2022-04-12T14:55:22" maxSheetId="2" userName="Пользователь" r:id="rId197" minRId="1908" maxRId="1923">
    <sheetIdMap count="1">
      <sheetId val="1"/>
    </sheetIdMap>
  </header>
  <header guid="{1DF3A38A-D934-4F53-A7C5-F0B30F75ED38}" dateTime="2022-04-13T10:57:07" maxSheetId="2" userName="Ольга Владимировна" r:id="rId198" minRId="1924" maxRId="1929">
    <sheetIdMap count="1">
      <sheetId val="1"/>
    </sheetIdMap>
  </header>
  <header guid="{81F1E5A7-E1B3-41A1-9E0A-657A9B4C06F5}" dateTime="2022-04-26T15:22:58" maxSheetId="2" userName="Пользователь" r:id="rId199" minRId="1932" maxRId="1945">
    <sheetIdMap count="1">
      <sheetId val="1"/>
    </sheetIdMap>
  </header>
  <header guid="{0C6CCC20-452C-4357-B843-4CE6285E3DDE}" dateTime="2022-04-26T15:43:42" maxSheetId="2" userName="Пользователь" r:id="rId200" minRId="1946" maxRId="1956">
    <sheetIdMap count="1">
      <sheetId val="1"/>
    </sheetIdMap>
  </header>
  <header guid="{5B5D6B6B-5FFA-408C-9BF2-63F4916A5DCC}" dateTime="2022-04-26T15:46:16" maxSheetId="2" userName="Пользователь" r:id="rId201" minRId="1957" maxRId="1968">
    <sheetIdMap count="1">
      <sheetId val="1"/>
    </sheetIdMap>
  </header>
  <header guid="{BB77D95A-EB78-491E-B785-C557787F736A}" dateTime="2022-04-26T15:46:48" maxSheetId="2" userName="Пользователь" r:id="rId202" minRId="1971">
    <sheetIdMap count="1">
      <sheetId val="1"/>
    </sheetIdMap>
  </header>
  <header guid="{415D1A58-1533-495A-B38E-2762F9E1A621}" dateTime="2022-04-26T15:49:28" maxSheetId="2" userName="Пользователь" r:id="rId203" minRId="1972" maxRId="1973">
    <sheetIdMap count="1">
      <sheetId val="1"/>
    </sheetIdMap>
  </header>
  <header guid="{20CF03D9-9C6A-471E-9DE0-0841F8A12CF6}" dateTime="2022-04-28T10:38:08" maxSheetId="2" userName="User" r:id="rId204" minRId="1974">
    <sheetIdMap count="1">
      <sheetId val="1"/>
    </sheetIdMap>
  </header>
  <header guid="{414E1683-6882-451E-BF3F-0EEDBECED17D}" dateTime="2022-06-08T10:34:20" maxSheetId="2" userName="Пользователь" r:id="rId205" minRId="1977" maxRId="1979">
    <sheetIdMap count="1">
      <sheetId val="1"/>
    </sheetIdMap>
  </header>
  <header guid="{A5B69253-AA36-4D49-9AB6-DC56D0AF0C39}" dateTime="2022-06-08T10:37:08" maxSheetId="2" userName="Пользователь" r:id="rId206" minRId="1980" maxRId="2003">
    <sheetIdMap count="1">
      <sheetId val="1"/>
    </sheetIdMap>
  </header>
  <header guid="{812CC098-8351-4AC1-916F-0F7290207412}" dateTime="2022-06-08T10:40:18" maxSheetId="2" userName="Пользователь" r:id="rId207" minRId="2004" maxRId="2020">
    <sheetIdMap count="1">
      <sheetId val="1"/>
    </sheetIdMap>
  </header>
  <header guid="{2EDDE984-ACB7-4833-8C36-881A651C6046}" dateTime="2022-06-08T10:41:16" maxSheetId="2" userName="Пользователь" r:id="rId208" minRId="2023" maxRId="2026">
    <sheetIdMap count="1">
      <sheetId val="1"/>
    </sheetIdMap>
  </header>
  <header guid="{EA805087-2892-4160-9B06-968FD9909384}" dateTime="2022-06-08T10:41:59" maxSheetId="2" userName="Пользователь" r:id="rId209" minRId="2027" maxRId="2035">
    <sheetIdMap count="1">
      <sheetId val="1"/>
    </sheetIdMap>
  </header>
  <header guid="{728E0C26-6B13-4576-B938-5E4ADF3F0C60}" dateTime="2022-06-08T10:48:09" maxSheetId="2" userName="Пользователь" r:id="rId210" minRId="2036" maxRId="2070">
    <sheetIdMap count="1">
      <sheetId val="1"/>
    </sheetIdMap>
  </header>
  <header guid="{824E4020-A927-4DC9-8ACA-575B368E28A4}" dateTime="2022-06-08T11:07:20" maxSheetId="2" userName="Пользователь" r:id="rId211" minRId="2073" maxRId="2154">
    <sheetIdMap count="1">
      <sheetId val="1"/>
    </sheetIdMap>
  </header>
  <header guid="{0A085F5D-9BF1-498A-BAC7-C3B5F55611A1}" dateTime="2022-06-08T11:14:31" maxSheetId="2" userName="Пользователь" r:id="rId212" minRId="2155" maxRId="2162">
    <sheetIdMap count="1">
      <sheetId val="1"/>
    </sheetIdMap>
  </header>
  <header guid="{155E148A-3B51-40CC-BD62-D2BDE8AE462B}" dateTime="2022-06-08T11:15:24" maxSheetId="2" userName="Пользователь" r:id="rId213" minRId="2163">
    <sheetIdMap count="1">
      <sheetId val="1"/>
    </sheetIdMap>
  </header>
  <header guid="{C0248C71-0F0B-4E83-969E-B7CA5F267869}" dateTime="2022-07-18T13:31:03" maxSheetId="2" userName="Пользователь" r:id="rId214" minRId="2164" maxRId="2294">
    <sheetIdMap count="1">
      <sheetId val="1"/>
    </sheetIdMap>
  </header>
  <header guid="{395E488E-7704-4086-843C-6FDB5DCF9F38}" dateTime="2022-07-18T14:54:33" maxSheetId="2" userName="Пользователь" r:id="rId215" minRId="2295" maxRId="2296">
    <sheetIdMap count="1">
      <sheetId val="1"/>
    </sheetIdMap>
  </header>
  <header guid="{ADF03288-7970-4E39-8587-827B039F3EDB}" dateTime="2022-07-18T15:01:02" maxSheetId="2" userName="Ольга Владимировна" r:id="rId216" minRId="2297" maxRId="2298">
    <sheetIdMap count="1">
      <sheetId val="1"/>
    </sheetIdMap>
  </header>
  <header guid="{6D8BA550-6EAF-42C1-AA2C-AE57DF5CCA42}" dateTime="2022-07-21T11:05:28" maxSheetId="2" userName="Пользователь" r:id="rId217" minRId="2299" maxRId="2306">
    <sheetIdMap count="1">
      <sheetId val="1"/>
    </sheetIdMap>
  </header>
  <header guid="{4A4B81CF-9737-4BEA-86CD-1AA3AF6E19EE}" dateTime="2022-07-21T13:26:54" maxSheetId="2" userName="Пользователь" r:id="rId218" minRId="2307" maxRId="2308">
    <sheetIdMap count="1">
      <sheetId val="1"/>
    </sheetIdMap>
  </header>
  <header guid="{50AAAD68-B75C-477F-B82C-6E8F3119508F}" dateTime="2022-07-25T15:48:48" maxSheetId="2" userName="Ольга Владимировна" r:id="rId219" minRId="2309">
    <sheetIdMap count="1">
      <sheetId val="1"/>
    </sheetIdMap>
  </header>
  <header guid="{6DEC146E-1712-4DB9-BF0D-2C87616073C9}" dateTime="2022-10-20T08:21:08" maxSheetId="2" userName="Пользователь" r:id="rId220" minRId="2310" maxRId="2347">
    <sheetIdMap count="1">
      <sheetId val="1"/>
    </sheetIdMap>
  </header>
  <header guid="{F64EF2C9-AD6C-4773-A69C-F1D7B87E913D}" dateTime="2022-10-20T08:24:06" maxSheetId="2" userName="Пользователь" r:id="rId221" minRId="2350" maxRId="2392">
    <sheetIdMap count="1">
      <sheetId val="1"/>
    </sheetIdMap>
  </header>
  <header guid="{4870B87C-5C7F-4CD3-9FFD-C95B2C777E6D}" dateTime="2022-10-20T08:26:42" maxSheetId="2" userName="Пользователь" r:id="rId222" minRId="2393" maxRId="2418">
    <sheetIdMap count="1">
      <sheetId val="1"/>
    </sheetIdMap>
  </header>
  <header guid="{E561D959-1378-41A8-A211-DB181D978722}" dateTime="2022-10-20T08:30:34" maxSheetId="2" userName="Пользователь" r:id="rId223" minRId="2419" maxRId="2434">
    <sheetIdMap count="1">
      <sheetId val="1"/>
    </sheetIdMap>
  </header>
  <header guid="{0F8F20F0-B297-4FAF-9D6D-42D6C5DB6EFC}" dateTime="2022-10-20T08:32:46" maxSheetId="2" userName="Пользователь" r:id="rId224" minRId="2435" maxRId="2443">
    <sheetIdMap count="1">
      <sheetId val="1"/>
    </sheetIdMap>
  </header>
  <header guid="{340F3828-34DC-4BFB-B6E1-EA42C712D631}" dateTime="2022-10-20T08:46:12" maxSheetId="2" userName="Пользователь" r:id="rId225" minRId="2444" maxRId="2477">
    <sheetIdMap count="1">
      <sheetId val="1"/>
    </sheetIdMap>
  </header>
  <header guid="{391C1045-357C-4953-A196-400706E4754E}" dateTime="2022-10-20T08:54:34" maxSheetId="2" userName="Пользователь" r:id="rId226" minRId="2478" maxRId="2539">
    <sheetIdMap count="1">
      <sheetId val="1"/>
    </sheetIdMap>
  </header>
  <header guid="{96421565-9681-4E24-83B3-0A57DE9D3126}" dateTime="2022-10-20T08:57:39" maxSheetId="2" userName="Пользователь" r:id="rId227" minRId="2540" maxRId="2571">
    <sheetIdMap count="1">
      <sheetId val="1"/>
    </sheetIdMap>
  </header>
  <header guid="{A277F277-26D7-46F4-A5F1-64E3517BABF1}" dateTime="2022-10-20T09:05:36" maxSheetId="2" userName="Пользователь" r:id="rId228" minRId="2574" maxRId="2575">
    <sheetIdMap count="1">
      <sheetId val="1"/>
    </sheetIdMap>
  </header>
  <header guid="{B23F44B2-62F3-4FFC-B0B5-EF1A7345EDC6}" dateTime="2022-10-20T09:07:01" maxSheetId="2" userName="Пользователь" r:id="rId229" minRId="2578">
    <sheetIdMap count="1">
      <sheetId val="1"/>
    </sheetIdMap>
  </header>
  <header guid="{09D520CA-557E-4939-946F-E45B5434951D}" dateTime="2022-10-20T09:10:11" maxSheetId="2" userName="Пользователь" r:id="rId230" minRId="2579" maxRId="2602">
    <sheetIdMap count="1">
      <sheetId val="1"/>
    </sheetIdMap>
  </header>
  <header guid="{F64694E4-D92D-4D4E-ACF0-480F09EAFD1B}" dateTime="2022-10-20T09:11:00" maxSheetId="2" userName="Пользователь" r:id="rId231" minRId="2605" maxRId="2607">
    <sheetIdMap count="1">
      <sheetId val="1"/>
    </sheetIdMap>
  </header>
  <header guid="{7CFEBD99-793B-4A21-B35D-A8EDDF9B05DA}" dateTime="2022-10-20T09:20:08" maxSheetId="2" userName="Пользователь" r:id="rId232" minRId="2608" maxRId="2649">
    <sheetIdMap count="1">
      <sheetId val="1"/>
    </sheetIdMap>
  </header>
  <header guid="{350D97CA-6743-4FCB-9D4E-2B75114F2F5B}" dateTime="2022-10-20T09:33:58" maxSheetId="2" userName="Пользователь" r:id="rId233" minRId="2652" maxRId="2728">
    <sheetIdMap count="1">
      <sheetId val="1"/>
    </sheetIdMap>
  </header>
  <header guid="{992620AC-7806-4E29-A1C0-052D3740BD33}" dateTime="2022-10-20T09:37:27" maxSheetId="2" userName="Пользователь" r:id="rId234" minRId="2729" maxRId="2747">
    <sheetIdMap count="1">
      <sheetId val="1"/>
    </sheetIdMap>
  </header>
  <header guid="{FAEAAB62-FF1E-4D45-9E5B-8403A6CE8B0F}" dateTime="2022-10-20T09:42:23" maxSheetId="2" userName="Пользователь" r:id="rId235" minRId="2750" maxRId="2811">
    <sheetIdMap count="1">
      <sheetId val="1"/>
    </sheetIdMap>
  </header>
  <header guid="{58F23329-6855-45D8-A751-A96AB2CAE925}" dateTime="2022-10-20T09:55:13" maxSheetId="2" userName="Пользователь" r:id="rId236" minRId="2814" maxRId="2936">
    <sheetIdMap count="1">
      <sheetId val="1"/>
    </sheetIdMap>
  </header>
  <header guid="{B355CA45-86E9-4EC9-B4E4-12E4EBB5FE1E}" dateTime="2022-10-20T09:59:22" maxSheetId="2" userName="Пользователь" r:id="rId237" minRId="2939" maxRId="2947">
    <sheetIdMap count="1">
      <sheetId val="1"/>
    </sheetIdMap>
  </header>
  <header guid="{6A5043ED-EAE8-4B02-9567-354B22300D5C}" dateTime="2022-10-20T10:04:12" maxSheetId="2" userName="Пользователь" r:id="rId238" minRId="2948" maxRId="2951">
    <sheetIdMap count="1">
      <sheetId val="1"/>
    </sheetIdMap>
  </header>
  <header guid="{72ACB8D8-AB2A-48F7-BBAF-C2AB9BFAA73D}" dateTime="2022-10-21T08:22:58" maxSheetId="2" userName="Пользователь" r:id="rId239" minRId="2952" maxRId="2959">
    <sheetIdMap count="1">
      <sheetId val="1"/>
    </sheetIdMap>
  </header>
  <header guid="{9996E35B-BA01-4F80-8F05-5EC6DCBCBFEE}" dateTime="2022-10-21T08:24:23" maxSheetId="2" userName="Пользователь" r:id="rId240" minRId="2960">
    <sheetIdMap count="1">
      <sheetId val="1"/>
    </sheetIdMap>
  </header>
  <header guid="{6521B9AD-E587-4EF8-B047-BFB70C754F4C}" dateTime="2022-10-21T11:39:02" maxSheetId="2" userName="Ольга Владимировна" r:id="rId241" minRId="2961" maxRId="2962">
    <sheetIdMap count="1">
      <sheetId val="1"/>
    </sheetIdMap>
  </header>
  <header guid="{A8200165-49F3-42E9-BF4A-389D66C2E7D5}" dateTime="2022-11-02T13:35:32" maxSheetId="2" userName="Пользователь" r:id="rId242" minRId="2963" maxRId="3009">
    <sheetIdMap count="1">
      <sheetId val="1"/>
    </sheetIdMap>
  </header>
  <header guid="{73BFF11B-FF97-45AF-A9D2-0F5E29DAD6A6}" dateTime="2022-11-02T13:37:58" maxSheetId="2" userName="Пользователь" r:id="rId243" minRId="3010" maxRId="3024">
    <sheetIdMap count="1">
      <sheetId val="1"/>
    </sheetIdMap>
  </header>
  <header guid="{46394396-6046-42FA-B415-40515E757A37}" dateTime="2022-11-02T13:39:27" maxSheetId="2" userName="Пользователь" r:id="rId244" minRId="3027" maxRId="3049">
    <sheetIdMap count="1">
      <sheetId val="1"/>
    </sheetIdMap>
  </header>
  <header guid="{5E758C16-59B9-4F29-821B-671041565714}" dateTime="2022-11-02T13:44:28" maxSheetId="2" userName="Пользователь" r:id="rId245" minRId="3050" maxRId="3092">
    <sheetIdMap count="1">
      <sheetId val="1"/>
    </sheetIdMap>
  </header>
  <header guid="{59E4DF5A-B45D-4050-8804-86EDA58ECE8C}" dateTime="2022-11-02T13:51:58" maxSheetId="2" userName="Пользователь" r:id="rId246" minRId="3095" maxRId="3134">
    <sheetIdMap count="1">
      <sheetId val="1"/>
    </sheetIdMap>
  </header>
  <header guid="{02CAEED1-DB28-4D33-B55C-E38C248E13FD}" dateTime="2022-11-02T13:53:49" maxSheetId="2" userName="Пользователь" r:id="rId247" minRId="3137" maxRId="3144">
    <sheetIdMap count="1">
      <sheetId val="1"/>
    </sheetIdMap>
  </header>
  <header guid="{9FC3B762-58BA-4FC0-A879-B5EF4F31DE94}" dateTime="2022-11-02T14:40:07" maxSheetId="2" userName="Пользователь" r:id="rId248" minRId="3147" maxRId="3156">
    <sheetIdMap count="1">
      <sheetId val="1"/>
    </sheetIdMap>
  </header>
  <header guid="{9C500F1E-9E30-44CC-9570-5EFA14FC6244}" dateTime="2022-11-02T14:53:52" maxSheetId="2" userName="Пользователь" r:id="rId249" minRId="3157" maxRId="3159">
    <sheetIdMap count="1">
      <sheetId val="1"/>
    </sheetIdMap>
  </header>
  <header guid="{EA8520D4-C366-4EE9-8037-4AFB0CC6CBC3}" dateTime="2022-11-02T14:57:46" maxSheetId="2" userName="Пользователь" r:id="rId250" minRId="3162">
    <sheetIdMap count="1">
      <sheetId val="1"/>
    </sheetIdMap>
  </header>
  <header guid="{E9CF5C46-1971-4E43-A699-A9554F034E08}" dateTime="2022-11-10T11:22:17" maxSheetId="2" userName="User" r:id="rId251" minRId="3163">
    <sheetIdMap count="1">
      <sheetId val="1"/>
    </sheetIdMap>
  </header>
  <header guid="{0F2A175D-C6E8-4F95-AF1C-9B1C45B0E16F}" dateTime="2022-11-11T11:28:37" maxSheetId="2" userName="Пользователь" r:id="rId252" minRId="3164" maxRId="3189">
    <sheetIdMap count="1">
      <sheetId val="1"/>
    </sheetIdMap>
  </header>
  <header guid="{0F596EB0-4C48-43CA-BC4C-47CDA63AF0D0}" dateTime="2022-11-11T11:35:36" maxSheetId="2" userName="Пользователь" r:id="rId253" minRId="3192" maxRId="3297">
    <sheetIdMap count="1">
      <sheetId val="1"/>
    </sheetIdMap>
  </header>
  <header guid="{921BB30C-56E8-4714-B28C-5A5F9A8CFC75}" dateTime="2022-11-11T11:38:34" maxSheetId="2" userName="Пользователь" r:id="rId254" minRId="3300" maxRId="3320">
    <sheetIdMap count="1">
      <sheetId val="1"/>
    </sheetIdMap>
  </header>
  <header guid="{F3A4B6C8-9030-4162-B5E4-A1D47AB4EBD7}" dateTime="2022-11-11T11:39:15" maxSheetId="2" userName="Пользователь" r:id="rId255" minRId="3321" maxRId="3334">
    <sheetIdMap count="1">
      <sheetId val="1"/>
    </sheetIdMap>
  </header>
  <header guid="{83312D00-9A49-4520-8CF4-5D2E3B9A3BAA}" dateTime="2022-11-11T11:41:38" maxSheetId="2" userName="Пользователь" r:id="rId256" minRId="3335" maxRId="3387">
    <sheetIdMap count="1">
      <sheetId val="1"/>
    </sheetIdMap>
  </header>
  <header guid="{761DBDA9-7077-45A3-9D7F-29061634E1B2}" dateTime="2022-11-11T11:46:00" maxSheetId="2" userName="Пользователь" r:id="rId257" minRId="3388" maxRId="3437">
    <sheetIdMap count="1">
      <sheetId val="1"/>
    </sheetIdMap>
  </header>
  <header guid="{018A32A0-0B46-4BE4-94CA-8773EF12C8AB}" dateTime="2022-11-11T11:47:01" maxSheetId="2" userName="Пользователь" r:id="rId258" minRId="3438" maxRId="3444">
    <sheetIdMap count="1">
      <sheetId val="1"/>
    </sheetIdMap>
  </header>
  <header guid="{D09D0FF4-4D47-4011-BC3B-C8DB4BF9F735}" dateTime="2022-11-11T11:48:35" maxSheetId="2" userName="Пользователь" r:id="rId259" minRId="3445" maxRId="3451">
    <sheetIdMap count="1">
      <sheetId val="1"/>
    </sheetIdMap>
  </header>
  <header guid="{E43134BD-FBA4-441A-9549-44DF802F4ED3}" dateTime="2022-11-11T11:54:21" maxSheetId="2" userName="Пользователь" r:id="rId260" minRId="3452" maxRId="3489">
    <sheetIdMap count="1">
      <sheetId val="1"/>
    </sheetIdMap>
  </header>
  <header guid="{1125FA08-7933-4744-9152-F95E5DC93C04}" dateTime="2022-11-11T13:09:29" maxSheetId="2" userName="Пользователь" r:id="rId261" minRId="3490" maxRId="3522">
    <sheetIdMap count="1">
      <sheetId val="1"/>
    </sheetIdMap>
  </header>
  <header guid="{BE3AC274-1897-4125-8A5F-699D72666687}" dateTime="2022-11-11T13:14:00" maxSheetId="2" userName="Пользователь" r:id="rId262" minRId="3523" maxRId="3598">
    <sheetIdMap count="1">
      <sheetId val="1"/>
    </sheetIdMap>
  </header>
  <header guid="{1F01F5C6-EF71-4079-AA18-A7D2BE46F0A6}" dateTime="2022-11-11T13:18:18" maxSheetId="2" userName="Пользователь" r:id="rId263" minRId="3599" maxRId="3687">
    <sheetIdMap count="1">
      <sheetId val="1"/>
    </sheetIdMap>
  </header>
  <header guid="{5B94C6FE-2ED4-43A6-AE38-F5B2C1977E5C}" dateTime="2022-11-11T13:20:59" maxSheetId="2" userName="Пользователь" r:id="rId264" minRId="3688" maxRId="3693">
    <sheetIdMap count="1">
      <sheetId val="1"/>
    </sheetIdMap>
  </header>
  <header guid="{23126421-1818-4E2F-B476-F2A6FC3A6A8E}" dateTime="2022-11-11T13:22:58" maxSheetId="2" userName="Пользователь" r:id="rId265" minRId="3694" maxRId="3698">
    <sheetIdMap count="1">
      <sheetId val="1"/>
    </sheetIdMap>
  </header>
  <header guid="{05476ACE-0293-4342-9875-1250E8077CBC}" dateTime="2022-11-11T13:28:10" maxSheetId="2" userName="Пользователь" r:id="rId266" minRId="3699" maxRId="3711">
    <sheetIdMap count="1">
      <sheetId val="1"/>
    </sheetIdMap>
  </header>
  <header guid="{81AF4DF2-CAB3-4F0C-BCCB-7AFA4B1F8170}" dateTime="2022-11-11T13:29:59" maxSheetId="2" userName="Пользователь" r:id="rId267" minRId="3712" maxRId="3736">
    <sheetIdMap count="1">
      <sheetId val="1"/>
    </sheetIdMap>
  </header>
  <header guid="{ABEB7029-0482-40BB-B80C-E81A9BADED61}" dateTime="2022-11-11T13:35:17" maxSheetId="2" userName="Пользователь" r:id="rId268" minRId="3737" maxRId="3739">
    <sheetIdMap count="1">
      <sheetId val="1"/>
    </sheetIdMap>
  </header>
  <header guid="{3FC90489-7847-43C8-A6B1-BA81B1A79E49}" dateTime="2022-11-11T14:23:12" maxSheetId="2" userName="Пользователь" r:id="rId269" minRId="3740" maxRId="3755">
    <sheetIdMap count="1">
      <sheetId val="1"/>
    </sheetIdMap>
  </header>
  <header guid="{A3B000C1-640A-41A6-8332-E49225F6AB43}" dateTime="2022-11-11T16:24:36" maxSheetId="2" userName="Пользователь" r:id="rId270" minRId="3758" maxRId="3759">
    <sheetIdMap count="1">
      <sheetId val="1"/>
    </sheetIdMap>
  </header>
  <header guid="{55878CA7-A5E7-4B31-85BF-0CDD349D1C62}" dateTime="2022-11-11T16:49:29" maxSheetId="2" userName="Пользователь" r:id="rId271" minRId="3760">
    <sheetIdMap count="1">
      <sheetId val="1"/>
    </sheetIdMap>
  </header>
  <header guid="{21D79BCE-BD84-49BC-B9D0-016C2455A410}" dateTime="2022-11-11T17:11:25" maxSheetId="2" userName="Пользователь" r:id="rId272" minRId="3761">
    <sheetIdMap count="1">
      <sheetId val="1"/>
    </sheetIdMap>
  </header>
  <header guid="{742BEC22-C068-4C18-85D5-A62F0BFB04AF}" dateTime="2022-11-14T08:10:02" maxSheetId="2" userName="Пользователь" r:id="rId273" minRId="3764" maxRId="3766">
    <sheetIdMap count="1">
      <sheetId val="1"/>
    </sheetIdMap>
  </header>
  <header guid="{980E2944-BC21-466A-8965-3589EDF9F5B7}" dateTime="2022-11-14T10:30:51" maxSheetId="2" userName="Пользователь" r:id="rId274" minRId="3767" maxRId="3782">
    <sheetIdMap count="1">
      <sheetId val="1"/>
    </sheetIdMap>
  </header>
  <header guid="{E1156BD1-C048-460F-AF75-2F04DD630EE5}" dateTime="2022-11-14T10:45:51" maxSheetId="2" userName="Пользователь" r:id="rId275" minRId="3783" maxRId="3803">
    <sheetIdMap count="1">
      <sheetId val="1"/>
    </sheetIdMap>
  </header>
  <header guid="{F755A6D5-94D1-47DF-800F-878507067581}" dateTime="2022-11-14T10:52:08" maxSheetId="2" userName="Пользователь" r:id="rId276" minRId="3804" maxRId="3842">
    <sheetIdMap count="1">
      <sheetId val="1"/>
    </sheetIdMap>
  </header>
  <header guid="{7770DDB5-54A7-41A9-82F3-544138063C0E}" dateTime="2022-11-14T10:59:40" maxSheetId="2" userName="Пользователь" r:id="rId277" minRId="3843" maxRId="3890">
    <sheetIdMap count="1">
      <sheetId val="1"/>
    </sheetIdMap>
  </header>
  <header guid="{97DEDDDB-8871-44FF-B696-375B3A9E4953}" dateTime="2022-11-14T11:07:08" maxSheetId="2" userName="Пользователь" r:id="rId278" minRId="3891" maxRId="3914">
    <sheetIdMap count="1">
      <sheetId val="1"/>
    </sheetIdMap>
  </header>
  <header guid="{7A243368-D4DD-4672-A7DA-D71D350145F1}" dateTime="2022-11-14T11:08:16" maxSheetId="2" userName="Пользователь" r:id="rId279" minRId="3915">
    <sheetIdMap count="1">
      <sheetId val="1"/>
    </sheetIdMap>
  </header>
  <header guid="{20C1F74D-6A59-4BF2-A3B4-56409F066643}" dateTime="2022-11-14T11:20:48" maxSheetId="2" userName="Пользователь" r:id="rId280" minRId="3916" maxRId="3944">
    <sheetIdMap count="1">
      <sheetId val="1"/>
    </sheetIdMap>
  </header>
  <header guid="{A94EE910-9C42-4FAD-8C65-206986BA8DD9}" dateTime="2022-11-14T11:29:07" maxSheetId="2" userName="Пользователь" r:id="rId281">
    <sheetIdMap count="1">
      <sheetId val="1"/>
    </sheetIdMap>
  </header>
  <header guid="{12B06B2C-52DF-406E-8DAB-6A1AA3C882AF}" dateTime="2022-11-14T11:51:50" maxSheetId="2" userName="Пользователь" r:id="rId282" minRId="3947" maxRId="3949">
    <sheetIdMap count="1">
      <sheetId val="1"/>
    </sheetIdMap>
  </header>
  <header guid="{E33728A8-4E44-4A1C-BB8C-47F3A38EACFD}" dateTime="2022-11-14T13:32:58" maxSheetId="2" userName="Пользователь" r:id="rId283" minRId="3950" maxRId="3955">
    <sheetIdMap count="1">
      <sheetId val="1"/>
    </sheetIdMap>
  </header>
  <header guid="{7A579920-C839-4CBD-9F23-D47CC40D8AAE}" dateTime="2022-11-14T14:02:09" maxSheetId="2" userName="Пользователь" r:id="rId284" minRId="3956" maxRId="4032">
    <sheetIdMap count="1">
      <sheetId val="1"/>
    </sheetIdMap>
  </header>
  <header guid="{CCC3516A-3A50-4C8A-BF1F-8B47B7599E85}" dateTime="2022-11-14T14:12:57" maxSheetId="2" userName="Пользователь" r:id="rId285" minRId="4033">
    <sheetIdMap count="1">
      <sheetId val="1"/>
    </sheetIdMap>
  </header>
  <header guid="{729111F6-8D39-4452-83FF-500ABCEDE5CA}" dateTime="2022-11-14T14:15:34" maxSheetId="2" userName="Пользователь" r:id="rId286" minRId="4034" maxRId="4040">
    <sheetIdMap count="1">
      <sheetId val="1"/>
    </sheetIdMap>
  </header>
  <header guid="{5EE76574-E912-4F8F-B927-6D9704C61E2F}" dateTime="2022-11-14T14:15:42" maxSheetId="2" userName="Пользователь" r:id="rId287">
    <sheetIdMap count="1">
      <sheetId val="1"/>
    </sheetIdMap>
  </header>
  <header guid="{BDB83A46-8CC7-4344-913E-B4CBD54168E2}" dateTime="2022-11-14T14:39:27" maxSheetId="2" userName="Пользователь" r:id="rId288" minRId="4041" maxRId="4044">
    <sheetIdMap count="1">
      <sheetId val="1"/>
    </sheetIdMap>
  </header>
  <header guid="{20A609F5-4605-4D66-90E6-9348805DADF0}" dateTime="2022-11-14T14:58:55" maxSheetId="2" userName="Пользователь" r:id="rId289" minRId="4045">
    <sheetIdMap count="1">
      <sheetId val="1"/>
    </sheetIdMap>
  </header>
  <header guid="{692BEB3D-1F0E-4AC5-BB37-7024EC89BA08}" dateTime="2022-11-14T14:59:31" maxSheetId="2" userName="Пользователь" r:id="rId290" minRId="4046">
    <sheetIdMap count="1">
      <sheetId val="1"/>
    </sheetIdMap>
  </header>
  <header guid="{BFFE7840-B57A-4B12-BD4B-22073EE95617}" dateTime="2022-11-14T15:00:02" maxSheetId="2" userName="Пользователь" r:id="rId291" minRId="4049">
    <sheetIdMap count="1">
      <sheetId val="1"/>
    </sheetIdMap>
  </header>
  <header guid="{41837090-FCDC-4235-9791-D2FB5C8A8319}" dateTime="2022-11-14T15:01:15" maxSheetId="2" userName="Пользователь" r:id="rId292" minRId="4050">
    <sheetIdMap count="1">
      <sheetId val="1"/>
    </sheetIdMap>
  </header>
  <header guid="{68355483-9DA0-4E87-9C94-682A72578075}" dateTime="2022-11-15T08:42:31" maxSheetId="2" userName="Ольга Владимировна" r:id="rId293" minRId="4051" maxRId="4056">
    <sheetIdMap count="1">
      <sheetId val="1"/>
    </sheetIdMap>
  </header>
  <header guid="{A6001F8D-903A-46FC-B748-4302E18CD8E5}" dateTime="2022-11-15T08:57:15" maxSheetId="2" userName="Ольга Владимировна" r:id="rId294" minRId="4057" maxRId="4060">
    <sheetIdMap count="1">
      <sheetId val="1"/>
    </sheetIdMap>
  </header>
  <header guid="{B6E9BFB8-ABC4-45FC-B34B-1260B9E6F14D}" dateTime="2022-11-15T09:08:33" maxSheetId="2" userName="Ольга Владимировна" r:id="rId295" minRId="4061">
    <sheetIdMap count="1">
      <sheetId val="1"/>
    </sheetIdMap>
  </header>
  <header guid="{9C58E4DD-CA11-4448-8F38-F23C40C9CB02}" dateTime="2022-12-09T08:46:16" maxSheetId="2" userName="Пользователь" r:id="rId296" minRId="4062" maxRId="4068">
    <sheetIdMap count="1">
      <sheetId val="1"/>
    </sheetIdMap>
  </header>
  <header guid="{60F76D2F-AB9B-48D9-A4C4-3D3E6F96DD9E}" dateTime="2022-12-09T08:54:51" maxSheetId="2" userName="Пользователь" r:id="rId297" minRId="4069">
    <sheetIdMap count="1">
      <sheetId val="1"/>
    </sheetIdMap>
  </header>
  <header guid="{14678C8E-24AB-4F54-8264-33F5B5391B65}" dateTime="2022-12-09T15:07:02" maxSheetId="2" userName="Пользователь" r:id="rId298" minRId="4070" maxRId="4083">
    <sheetIdMap count="1">
      <sheetId val="1"/>
    </sheetIdMap>
  </header>
  <header guid="{226ABFBD-B2A8-484D-8653-1E9A2442F73B}" dateTime="2022-12-09T15:12:04" maxSheetId="2" userName="Пользователь" r:id="rId299" minRId="4084">
    <sheetIdMap count="1">
      <sheetId val="1"/>
    </sheetIdMap>
  </header>
  <header guid="{915EA64C-F3AC-4C4E-B191-499E79B5CD9B}" dateTime="2022-12-09T15:20:39" maxSheetId="2" userName="Пользователь" r:id="rId300" minRId="4085" maxRId="4108">
    <sheetIdMap count="1">
      <sheetId val="1"/>
    </sheetIdMap>
  </header>
  <header guid="{F3FBE54A-7203-477D-A6F8-D2E7982FCB9A}" dateTime="2022-12-09T15:26:23" maxSheetId="2" userName="Пользователь" r:id="rId301">
    <sheetIdMap count="1">
      <sheetId val="1"/>
    </sheetIdMap>
  </header>
  <header guid="{70524891-C3A4-4067-85B3-C746912DE54E}" dateTime="2022-12-09T15:31:19" maxSheetId="2" userName="Пользователь" r:id="rId302" minRId="4111" maxRId="4124">
    <sheetIdMap count="1">
      <sheetId val="1"/>
    </sheetIdMap>
  </header>
  <header guid="{EE2968EA-5EB2-40C5-BFBE-4F978D3A03C1}" dateTime="2022-12-09T15:47:22" maxSheetId="2" userName="Пользователь" r:id="rId303" minRId="4125" maxRId="4138">
    <sheetIdMap count="1">
      <sheetId val="1"/>
    </sheetIdMap>
  </header>
  <header guid="{9F734218-63B3-4DDB-B320-632E7A004A99}" dateTime="2022-12-09T15:50:46" maxSheetId="2" userName="Пользователь" r:id="rId304" minRId="4139" maxRId="4150">
    <sheetIdMap count="1">
      <sheetId val="1"/>
    </sheetIdMap>
  </header>
  <header guid="{16AA60BA-16A2-4558-B92E-71B52D1F3339}" dateTime="2022-12-09T15:51:05" maxSheetId="2" userName="Пользователь" r:id="rId305" minRId="4151">
    <sheetIdMap count="1">
      <sheetId val="1"/>
    </sheetIdMap>
  </header>
  <header guid="{7CC5F39A-2B51-4062-8C51-6C1FFAAE3E8F}" dateTime="2022-12-09T15:56:15" maxSheetId="2" userName="Пользователь" r:id="rId306" minRId="4152" maxRId="4165">
    <sheetIdMap count="1">
      <sheetId val="1"/>
    </sheetIdMap>
  </header>
  <header guid="{DBB7399C-2CF6-4321-AA1A-8DDDF7157249}" dateTime="2022-12-12T09:14:35" maxSheetId="2" userName="Пользователь" r:id="rId307" minRId="4168" maxRId="4190">
    <sheetIdMap count="1">
      <sheetId val="1"/>
    </sheetIdMap>
  </header>
  <header guid="{DB95C609-35C4-4F16-BF4E-8E80F7024020}" dateTime="2022-12-12T09:19:55" maxSheetId="2" userName="Пользователь" r:id="rId308" minRId="4193" maxRId="4194">
    <sheetIdMap count="1">
      <sheetId val="1"/>
    </sheetIdMap>
  </header>
  <header guid="{0B6D0E11-262F-4858-8BB4-524F117A08EC}" dateTime="2022-12-12T09:20:58" maxSheetId="2" userName="Пользователь" r:id="rId309">
    <sheetIdMap count="1">
      <sheetId val="1"/>
    </sheetIdMap>
  </header>
  <header guid="{8F79A975-05CF-4BEE-9C22-42DFA61D7E08}" dateTime="2022-12-12T11:52:39" maxSheetId="2" userName="Пользователь" r:id="rId310" minRId="4195">
    <sheetIdMap count="1">
      <sheetId val="1"/>
    </sheetIdMap>
  </header>
  <header guid="{0009AE82-AC3A-4105-987E-1C25B2747AA6}" dateTime="2022-12-12T11:53:23" maxSheetId="2" userName="Пользователь" r:id="rId311">
    <sheetIdMap count="1">
      <sheetId val="1"/>
    </sheetIdMap>
  </header>
  <header guid="{40E963A4-F500-45A8-BA91-9EA406831A8F}" dateTime="2022-12-12T11:54:32" maxSheetId="2" userName="Пользователь" r:id="rId312">
    <sheetIdMap count="1">
      <sheetId val="1"/>
    </sheetIdMap>
  </header>
  <header guid="{AE58D0D6-9A94-4975-9BF9-5951C06A584D}" dateTime="2022-12-12T13:05:15" maxSheetId="2" userName="Пользователь" r:id="rId313">
    <sheetIdMap count="1">
      <sheetId val="1"/>
    </sheetIdMap>
  </header>
  <header guid="{36C53BE6-1DEB-4F93-B01E-80F808262ED7}" dateTime="2022-12-12T13:11:32" maxSheetId="2" userName="Пользователь" r:id="rId314">
    <sheetIdMap count="1">
      <sheetId val="1"/>
    </sheetIdMap>
  </header>
  <header guid="{68B863FD-A6F4-4845-BDF5-3F2628F319D7}" dateTime="2022-12-12T13:15:22" maxSheetId="2" userName="Пользователь" r:id="rId315" minRId="4198" maxRId="4211">
    <sheetIdMap count="1">
      <sheetId val="1"/>
    </sheetIdMap>
  </header>
  <header guid="{6689F76B-6744-4406-94E4-96868754B5EA}" dateTime="2022-12-12T13:19:54" maxSheetId="2" userName="Пользователь" r:id="rId316" minRId="4212" maxRId="4213">
    <sheetIdMap count="1">
      <sheetId val="1"/>
    </sheetIdMap>
  </header>
  <header guid="{41816B0F-C571-40E2-9EDB-986521856B31}" dateTime="2022-12-16T11:44:16" maxSheetId="2" userName="Пользователь" r:id="rId317" minRId="4214" maxRId="4217">
    <sheetIdMap count="1">
      <sheetId val="1"/>
    </sheetIdMap>
  </header>
  <header guid="{DE2F3087-688F-4FC5-A81F-4282A8104F39}" dateTime="2022-12-19T13:23:53" maxSheetId="2" userName="Пользователь" r:id="rId318" minRId="4218">
    <sheetIdMap count="1">
      <sheetId val="1"/>
    </sheetIdMap>
  </header>
  <header guid="{A6C647D3-99D1-4B33-A211-52071A90E8AB}" dateTime="2022-12-19T13:26:09" maxSheetId="2" userName="Пользователь" r:id="rId319" minRId="4219">
    <sheetIdMap count="1">
      <sheetId val="1"/>
    </sheetIdMap>
  </header>
  <header guid="{1BC891F7-F63F-46E6-B3C2-F9DE0726412B}" dateTime="2022-12-19T13:30:52" maxSheetId="2" userName="Пользователь" r:id="rId320" minRId="4220">
    <sheetIdMap count="1">
      <sheetId val="1"/>
    </sheetIdMap>
  </header>
  <header guid="{948FB3C2-E503-4EDB-B910-D294962EAAFD}" dateTime="2022-12-19T14:06:48" maxSheetId="2" userName="Пользователь" r:id="rId321" minRId="4221" maxRId="4225">
    <sheetIdMap count="1">
      <sheetId val="1"/>
    </sheetIdMap>
  </header>
  <header guid="{EF35B9EE-E46C-431F-B65C-5345BDE4F296}" dateTime="2022-12-19T14:08:43" maxSheetId="2" userName="Пользователь" r:id="rId322" minRId="4228" maxRId="4229">
    <sheetIdMap count="1">
      <sheetId val="1"/>
    </sheetIdMap>
  </header>
  <header guid="{FE96D2E6-D8E9-4FF7-8E9B-FF5490AC4B90}" dateTime="2022-12-19T14:56:45" maxSheetId="2" userName="Пользователь" r:id="rId323" minRId="4230" maxRId="4258">
    <sheetIdMap count="1">
      <sheetId val="1"/>
    </sheetIdMap>
  </header>
  <header guid="{DA615C7D-1DDC-4C2D-86E5-5E606EA42766}" dateTime="2022-12-19T16:08:50" maxSheetId="2" userName="Пользователь" r:id="rId324" minRId="4259" maxRId="4280">
    <sheetIdMap count="1">
      <sheetId val="1"/>
    </sheetIdMap>
  </header>
  <header guid="{D278A4F1-E3EC-48F2-86C2-617F1BD6EDF2}" dateTime="2022-12-20T09:43:42" maxSheetId="2" userName="Пользователь" r:id="rId325" minRId="4283" maxRId="4304">
    <sheetIdMap count="1">
      <sheetId val="1"/>
    </sheetIdMap>
  </header>
  <header guid="{FF3BCBCF-9E8C-4A67-A87C-F0544A02062B}" dateTime="2022-12-20T09:46:21" maxSheetId="2" userName="Пользователь" r:id="rId326" minRId="4307">
    <sheetIdMap count="1">
      <sheetId val="1"/>
    </sheetIdMap>
  </header>
  <header guid="{945C96B5-C750-4F1F-9344-D5A218F93BE8}" dateTime="2022-12-20T09:47:51" maxSheetId="2" userName="Пользователь" r:id="rId327" minRId="4308" maxRId="4316">
    <sheetIdMap count="1">
      <sheetId val="1"/>
    </sheetIdMap>
  </header>
  <header guid="{B72D1F4A-54ED-4A62-B6C2-8A5B59E8331B}" dateTime="2022-12-20T09:51:41" maxSheetId="2" userName="Пользователь" r:id="rId328" minRId="4317" maxRId="4318">
    <sheetIdMap count="1">
      <sheetId val="1"/>
    </sheetIdMap>
  </header>
  <header guid="{5EC4ABC2-4E13-47D8-9FEC-5E1B78581785}" dateTime="2022-12-20T09:58:54" maxSheetId="2" userName="Пользователь" r:id="rId329" minRId="4319" maxRId="4330">
    <sheetIdMap count="1">
      <sheetId val="1"/>
    </sheetIdMap>
  </header>
  <header guid="{53C5DF7A-14EC-4C95-A812-1EA02296AC51}" dateTime="2022-12-20T10:07:56" maxSheetId="2" userName="Пользователь" r:id="rId330" minRId="4333" maxRId="4346">
    <sheetIdMap count="1">
      <sheetId val="1"/>
    </sheetIdMap>
  </header>
  <header guid="{D9C9411B-DBD3-4FA1-90AE-BFDFCD099140}" dateTime="2022-12-20T10:12:42" maxSheetId="2" userName="Пользователь" r:id="rId331" minRId="4347">
    <sheetIdMap count="1">
      <sheetId val="1"/>
    </sheetIdMap>
  </header>
  <header guid="{A07454E1-CD51-4B08-8591-FA37D696B907}" dateTime="2022-12-20T10:18:34" maxSheetId="2" userName="Пользователь" r:id="rId332" minRId="4348" maxRId="4351">
    <sheetIdMap count="1">
      <sheetId val="1"/>
    </sheetIdMap>
  </header>
  <header guid="{305E25C5-535A-4BCD-8E86-6C0547EC1E6F}" dateTime="2022-12-20T11:15:58" maxSheetId="2" userName="Пользователь" r:id="rId333" minRId="4352" maxRId="4371">
    <sheetIdMap count="1">
      <sheetId val="1"/>
    </sheetIdMap>
  </header>
  <header guid="{3F4B7A14-67B6-4707-A8B4-E92FA25C2C7C}" dateTime="2022-12-20T11:17:24" maxSheetId="2" userName="Пользователь" r:id="rId334" minRId="4372" maxRId="4374">
    <sheetIdMap count="1">
      <sheetId val="1"/>
    </sheetIdMap>
  </header>
  <header guid="{7BEAC9D8-EF01-40B4-B8B7-8B50F9C7BE7B}" dateTime="2022-12-20T11:30:44" maxSheetId="2" userName="Пользователь" r:id="rId335" minRId="4377" maxRId="4467">
    <sheetIdMap count="1">
      <sheetId val="1"/>
    </sheetIdMap>
  </header>
  <header guid="{F31A9302-D3D2-4820-88B6-CCC881CCE40E}" dateTime="2022-12-20T11:48:59" maxSheetId="2" userName="Пользователь" r:id="rId336" minRId="4468" maxRId="4470">
    <sheetIdMap count="1">
      <sheetId val="1"/>
    </sheetIdMap>
  </header>
  <header guid="{031A6310-A1E0-4905-8269-404FD9043EBC}" dateTime="2022-12-20T13:55:26" maxSheetId="2" userName="Пользователь" r:id="rId337" minRId="4471">
    <sheetIdMap count="1">
      <sheetId val="1"/>
    </sheetIdMap>
  </header>
  <header guid="{2634B24F-AC4F-40B2-ACD1-1027723C2EA0}" dateTime="2022-12-20T16:02:00" maxSheetId="2" userName="Пользователь" r:id="rId338" minRId="4472" maxRId="4483">
    <sheetIdMap count="1">
      <sheetId val="1"/>
    </sheetIdMap>
  </header>
  <header guid="{7A95381E-88E8-4CAB-B640-12DF8BF81B70}" dateTime="2022-12-20T16:05:58" maxSheetId="2" userName="Пользователь" r:id="rId339" minRId="4484" maxRId="4486">
    <sheetIdMap count="1">
      <sheetId val="1"/>
    </sheetIdMap>
  </header>
  <header guid="{DE60D657-CE05-4D84-8F7C-05CBBF44370D}" dateTime="2022-12-20T16:11:45" maxSheetId="2" userName="Пользователь" r:id="rId340" minRId="4487" maxRId="4499">
    <sheetIdMap count="1">
      <sheetId val="1"/>
    </sheetIdMap>
  </header>
  <header guid="{A10B4AFB-D738-4E8D-B1FE-4D52732F2839}" dateTime="2022-12-20T16:12:03" maxSheetId="2" userName="Пользователь" r:id="rId341" minRId="4502">
    <sheetIdMap count="1">
      <sheetId val="1"/>
    </sheetIdMap>
  </header>
  <header guid="{78E04A3B-0675-41E1-B765-3A946FA11B38}" dateTime="2022-12-20T16:12:44" maxSheetId="2" userName="Пользователь" r:id="rId342" minRId="4503" maxRId="4504">
    <sheetIdMap count="1">
      <sheetId val="1"/>
    </sheetIdMap>
  </header>
  <header guid="{4C39B339-A882-4E52-A82F-8D0649EF887D}" dateTime="2022-12-20T16:21:45" maxSheetId="2" userName="Пользователь" r:id="rId343" minRId="4505" maxRId="4542">
    <sheetIdMap count="1">
      <sheetId val="1"/>
    </sheetIdMap>
  </header>
  <header guid="{9582F789-C404-4CEA-8A67-401C230BB2FB}" dateTime="2022-12-20T16:22:25" maxSheetId="2" userName="Пользователь" r:id="rId344" minRId="4545" maxRId="4546">
    <sheetIdMap count="1">
      <sheetId val="1"/>
    </sheetIdMap>
  </header>
  <header guid="{09560230-5FBA-44FA-9EAC-CCE4BE3DD383}" dateTime="2022-12-20T16:22:32" maxSheetId="2" userName="Пользователь" r:id="rId345">
    <sheetIdMap count="1">
      <sheetId val="1"/>
    </sheetIdMap>
  </header>
  <header guid="{186457F7-13AF-495B-BC20-4DFCDB0F4995}" dateTime="2022-12-20T16:29:51" maxSheetId="2" userName="Пользователь" r:id="rId346" minRId="4549" maxRId="4551">
    <sheetIdMap count="1">
      <sheetId val="1"/>
    </sheetIdMap>
  </header>
  <header guid="{E78523BA-3F19-4542-992C-5F2DB02077AE}" dateTime="2022-12-20T16:53:21" maxSheetId="2" userName="Пользователь" r:id="rId347" minRId="4552" maxRId="4578">
    <sheetIdMap count="1">
      <sheetId val="1"/>
    </sheetIdMap>
  </header>
  <header guid="{C5AC4777-E099-48F7-B3A1-3A99D55D9FB8}" dateTime="2022-12-20T17:15:24" maxSheetId="2" userName="Пользователь" r:id="rId348" minRId="4581" maxRId="4582">
    <sheetIdMap count="1">
      <sheetId val="1"/>
    </sheetIdMap>
  </header>
  <header guid="{A107B1C6-86F5-4FBE-AE99-2408D3668888}" dateTime="2022-12-21T08:29:11" maxSheetId="2" userName="Пользователь" r:id="rId349" minRId="4583" maxRId="4606">
    <sheetIdMap count="1">
      <sheetId val="1"/>
    </sheetIdMap>
  </header>
  <header guid="{234C2FF8-13F4-4997-ABFC-CC0240F9B020}" dateTime="2022-12-21T08:44:28" maxSheetId="2" userName="Пользователь" r:id="rId350" minRId="4607" maxRId="4615">
    <sheetIdMap count="1">
      <sheetId val="1"/>
    </sheetIdMap>
  </header>
  <header guid="{3D9E1A19-54BB-4504-84C5-1B715BE52189}" dateTime="2022-12-21T08:45:00" maxSheetId="2" userName="Пользователь" r:id="rId351">
    <sheetIdMap count="1">
      <sheetId val="1"/>
    </sheetIdMap>
  </header>
  <header guid="{C0F552F9-C12D-4502-8EBB-F0DF60A5F2B7}" dateTime="2022-12-21T08:56:46" maxSheetId="2" userName="Пользователь" r:id="rId352" minRId="4616">
    <sheetIdMap count="1">
      <sheetId val="1"/>
    </sheetIdMap>
  </header>
  <header guid="{652D4F86-3BB3-48C8-A696-00177FBCFCF3}" dateTime="2022-12-21T09:42:06" maxSheetId="2" userName="Пользователь" r:id="rId353" minRId="4617">
    <sheetIdMap count="1">
      <sheetId val="1"/>
    </sheetIdMap>
  </header>
  <header guid="{C2AFD679-22AE-484F-85C7-A2833FA6C8AD}" dateTime="2022-12-21T16:54:00" maxSheetId="2" userName="Пользователь" r:id="rId354" minRId="4618" maxRId="4626">
    <sheetIdMap count="1">
      <sheetId val="1"/>
    </sheetIdMap>
  </header>
  <header guid="{57772B4A-0E77-406B-891D-D9C1F61032A8}" dateTime="2022-12-21T16:55:05" maxSheetId="2" userName="Пользователь" r:id="rId355" minRId="4629">
    <sheetIdMap count="1">
      <sheetId val="1"/>
    </sheetIdMap>
  </header>
  <header guid="{0A8A410F-8138-47E1-A945-BAF8C3C28CD0}" dateTime="2022-12-21T17:02:29" maxSheetId="2" userName="Пользователь" r:id="rId356" minRId="4630">
    <sheetIdMap count="1">
      <sheetId val="1"/>
    </sheetIdMap>
  </header>
  <header guid="{FF14C6DB-4C6E-4065-A62C-009CB20031C0}" dateTime="2022-12-21T17:07:34" maxSheetId="2" userName="Пользователь" r:id="rId357" minRId="4631" maxRId="4632">
    <sheetIdMap count="1">
      <sheetId val="1"/>
    </sheetIdMap>
  </header>
  <header guid="{59401128-196E-4FC1-835B-B58F32F5FFCB}" dateTime="2022-12-21T17:51:10" maxSheetId="2" userName="Пользователь" r:id="rId358" minRId="4633" maxRId="4638">
    <sheetIdMap count="1">
      <sheetId val="1"/>
    </sheetIdMap>
  </header>
  <header guid="{9824A184-6181-44C7-BA28-646F5F082935}" dateTime="2022-12-21T18:11:02" maxSheetId="2" userName="Пользователь" r:id="rId359" minRId="4639" maxRId="4652">
    <sheetIdMap count="1">
      <sheetId val="1"/>
    </sheetIdMap>
  </header>
  <header guid="{5B23CD33-EED6-4E0B-B7EF-663346751865}" dateTime="2022-12-21T18:21:46" maxSheetId="2" userName="Пользователь" r:id="rId360" minRId="4653" maxRId="4677">
    <sheetIdMap count="1">
      <sheetId val="1"/>
    </sheetIdMap>
  </header>
  <header guid="{B01EEF2C-D472-46FD-BC72-04D5A7FB533A}" dateTime="2022-12-21T18:24:14" maxSheetId="2" userName="Пользователь" r:id="rId361" minRId="4678" maxRId="4691">
    <sheetIdMap count="1">
      <sheetId val="1"/>
    </sheetIdMap>
  </header>
  <header guid="{11159360-87DC-4B2A-8A52-7257992DBCA4}" dateTime="2022-12-21T18:24:20" maxSheetId="2" userName="Пользователь" r:id="rId362" minRId="4692" maxRId="4693">
    <sheetIdMap count="1">
      <sheetId val="1"/>
    </sheetIdMap>
  </header>
  <header guid="{FEE15EB1-5C8C-46AF-9DEA-C5316C9398BF}" dateTime="2022-12-21T18:28:50" maxSheetId="2" userName="Пользователь" r:id="rId363" minRId="4694" maxRId="4695">
    <sheetIdMap count="1">
      <sheetId val="1"/>
    </sheetIdMap>
  </header>
  <header guid="{B5B6B5C3-EF09-4E3F-A424-67003F31DDA8}" dateTime="2022-12-21T18:34:58" maxSheetId="2" userName="Пользователь" r:id="rId364" minRId="4696" maxRId="4708">
    <sheetIdMap count="1">
      <sheetId val="1"/>
    </sheetIdMap>
  </header>
  <header guid="{CEB5CA68-C9A2-44D1-9725-1FF552BE32C5}" dateTime="2022-12-21T18:42:33" maxSheetId="2" userName="Пользователь" r:id="rId365" minRId="4709" maxRId="4711">
    <sheetIdMap count="1">
      <sheetId val="1"/>
    </sheetIdMap>
  </header>
  <header guid="{ECB37904-AE16-4602-8855-5F4054225A58}" dateTime="2022-12-21T18:43:14" maxSheetId="2" userName="Пользователь" r:id="rId366" minRId="4712" maxRId="4713">
    <sheetIdMap count="1">
      <sheetId val="1"/>
    </sheetIdMap>
  </header>
  <header guid="{0C7CE507-153F-493F-B355-EBF4747E3571}" dateTime="2022-12-21T18:45:42" maxSheetId="2" userName="Пользователь" r:id="rId367" minRId="4714" maxRId="4715">
    <sheetIdMap count="1">
      <sheetId val="1"/>
    </sheetIdMap>
  </header>
  <header guid="{CE4A6B97-40C2-4BF9-89C0-58ADA7CABCFE}" dateTime="2022-12-21T18:50:26" maxSheetId="2" userName="Пользователь" r:id="rId368" minRId="4716" maxRId="4721">
    <sheetIdMap count="1">
      <sheetId val="1"/>
    </sheetIdMap>
  </header>
  <header guid="{2039408B-6830-4322-A86C-0CD0364E69AF}" dateTime="2022-12-21T18:51:15" maxSheetId="2" userName="Пользователь" r:id="rId369" minRId="4722" maxRId="4726">
    <sheetIdMap count="1">
      <sheetId val="1"/>
    </sheetIdMap>
  </header>
  <header guid="{4FB5B68C-1B2F-4F4D-9CD7-2A277FD76560}" dateTime="2022-12-21T18:57:36" maxSheetId="2" userName="Пользователь" r:id="rId370" minRId="4727" maxRId="4762">
    <sheetIdMap count="1">
      <sheetId val="1"/>
    </sheetIdMap>
  </header>
  <header guid="{4B9E6325-A5B2-47BF-87B5-E33C886D4639}" dateTime="2022-12-21T19:06:33" maxSheetId="2" userName="Пользователь" r:id="rId371" minRId="4763">
    <sheetIdMap count="1">
      <sheetId val="1"/>
    </sheetIdMap>
  </header>
  <header guid="{AF7D8A76-DD77-4963-ACBA-2254D7452DAB}" dateTime="2022-12-21T19:06:37" maxSheetId="2" userName="Пользователь" r:id="rId372" minRId="4764">
    <sheetIdMap count="1">
      <sheetId val="1"/>
    </sheetIdMap>
  </header>
  <header guid="{78298D97-95DD-4908-9500-24CE4C040C33}" dateTime="2022-12-21T19:19:16" maxSheetId="2" userName="Пользователь" r:id="rId373" minRId="4765" maxRId="4766">
    <sheetIdMap count="1">
      <sheetId val="1"/>
    </sheetIdMap>
  </header>
  <header guid="{CD9B557E-D216-4B2E-ADE2-6467C0F63461}" dateTime="2022-12-22T08:27:16" maxSheetId="2" userName="Пользователь" r:id="rId374" minRId="4767" maxRId="4782">
    <sheetIdMap count="1">
      <sheetId val="1"/>
    </sheetIdMap>
  </header>
  <header guid="{F73E229F-8449-404D-AEA4-08BD6023BDCF}" dateTime="2022-12-22T08:44:23" maxSheetId="2" userName="Пользователь" r:id="rId375" minRId="4785" maxRId="4786">
    <sheetIdMap count="1">
      <sheetId val="1"/>
    </sheetIdMap>
  </header>
  <header guid="{9C703259-0C89-4D0E-BF66-09AB08665F8F}" dateTime="2022-12-22T08:47:14" maxSheetId="2" userName="Пользователь" r:id="rId376" minRId="4787" maxRId="4800">
    <sheetIdMap count="1">
      <sheetId val="1"/>
    </sheetIdMap>
  </header>
  <header guid="{F98FAECD-30C7-4A00-AF40-E8ED484D19F5}" dateTime="2022-12-22T09:13:55" maxSheetId="2" userName="Пользователь" r:id="rId377" minRId="4801" maxRId="4804">
    <sheetIdMap count="1">
      <sheetId val="1"/>
    </sheetIdMap>
  </header>
  <header guid="{E45DDBA1-0B7E-4E0C-BAEB-E27B054A8F80}" dateTime="2022-12-22T09:15:48" maxSheetId="2" userName="Пользователь" r:id="rId378" minRId="4807" maxRId="4814">
    <sheetIdMap count="1">
      <sheetId val="1"/>
    </sheetIdMap>
  </header>
  <header guid="{3C2E51DD-D3B8-4D16-B0D6-97151E2861A7}" dateTime="2022-12-22T09:35:09" maxSheetId="2" userName="Пользователь" r:id="rId379" minRId="4815" maxRId="4816">
    <sheetIdMap count="1">
      <sheetId val="1"/>
    </sheetIdMap>
  </header>
  <header guid="{A6D7C53F-B450-4581-A394-BB51D82FE80C}" dateTime="2023-01-09T10:17:06" maxSheetId="2" userName="Пользователь" r:id="rId380" minRId="4817" maxRId="4846">
    <sheetIdMap count="1">
      <sheetId val="1"/>
    </sheetIdMap>
  </header>
  <header guid="{F36727E1-A4AF-4F2E-BB46-22F51E9F18BC}" dateTime="2023-01-09T11:14:24" maxSheetId="2" userName="Пользователь" r:id="rId381">
    <sheetIdMap count="1">
      <sheetId val="1"/>
    </sheetIdMap>
  </header>
  <header guid="{26E6CA58-004A-41B7-9D40-1A324B90D9F5}" dateTime="2023-01-09T11:38:16" maxSheetId="2" userName="Пользователь" r:id="rId382" minRId="4849">
    <sheetIdMap count="1">
      <sheetId val="1"/>
    </sheetIdMap>
  </header>
  <header guid="{AEE06F50-9150-445A-9D75-846AAD691532}" dateTime="2023-01-09T11:55:25" maxSheetId="2" userName="Пользователь" r:id="rId383" minRId="4850">
    <sheetIdMap count="1">
      <sheetId val="1"/>
    </sheetIdMap>
  </header>
  <header guid="{EB13C6E4-ADE0-465F-9603-D3CB4E64F2B0}" dateTime="2023-01-09T13:20:06" maxSheetId="2" userName="Пользователь" r:id="rId384" minRId="4851" maxRId="4854">
    <sheetIdMap count="1">
      <sheetId val="1"/>
    </sheetIdMap>
  </header>
  <header guid="{AC3836A1-263A-47FF-AF6A-619BF2922353}" dateTime="2023-01-09T13:21:42" maxSheetId="2" userName="Пользователь" r:id="rId385" minRId="4855">
    <sheetIdMap count="1">
      <sheetId val="1"/>
    </sheetIdMap>
  </header>
  <header guid="{A042BC4B-E27D-44C8-B7D5-1777D45E2F12}" dateTime="2023-01-09T13:46:10" maxSheetId="2" userName="Пользователь" r:id="rId386" minRId="4856">
    <sheetIdMap count="1">
      <sheetId val="1"/>
    </sheetIdMap>
  </header>
  <header guid="{5948BBB4-8AD0-4FC9-B248-288BB7FD48B9}" dateTime="2023-01-09T13:52:24" maxSheetId="2" userName="Пользователь" r:id="rId387" minRId="4857" maxRId="4858">
    <sheetIdMap count="1">
      <sheetId val="1"/>
    </sheetIdMap>
  </header>
  <header guid="{BA1D7ADA-7CDF-4ECF-924B-8052507BCBED}" dateTime="2023-01-09T13:55:36" maxSheetId="2" userName="Пользователь" r:id="rId388" minRId="4859">
    <sheetIdMap count="1">
      <sheetId val="1"/>
    </sheetIdMap>
  </header>
  <header guid="{93B0947F-2806-4B0F-9329-8C61F52C2C98}" dateTime="2023-01-09T14:11:47" maxSheetId="2" userName="Пользователь" r:id="rId389" minRId="4860" maxRId="4867">
    <sheetIdMap count="1">
      <sheetId val="1"/>
    </sheetIdMap>
  </header>
  <header guid="{100EBE4E-AFF6-4E6A-B061-77B51321253C}" dateTime="2023-01-09T14:12:32" maxSheetId="2" userName="Пользователь" r:id="rId390" minRId="4868" maxRId="4869">
    <sheetIdMap count="1">
      <sheetId val="1"/>
    </sheetIdMap>
  </header>
  <header guid="{598FE7D0-E32F-4A9C-B773-B2FA437403E3}" dateTime="2023-01-09T14:23:10" maxSheetId="2" userName="Пользователь" r:id="rId391" minRId="4870" maxRId="4873">
    <sheetIdMap count="1">
      <sheetId val="1"/>
    </sheetIdMap>
  </header>
  <header guid="{B1336400-EA45-4EDB-97E3-FD586969508E}" dateTime="2023-01-09T18:33:45" maxSheetId="2" userName="Пользователь" r:id="rId392" minRId="4874" maxRId="4883">
    <sheetIdMap count="1">
      <sheetId val="1"/>
    </sheetIdMap>
  </header>
  <header guid="{8B116000-9DE0-4BC6-923E-BE327A5D1154}" dateTime="2023-01-09T18:54:22" maxSheetId="2" userName="Пользователь" r:id="rId393" minRId="4884" maxRId="4885">
    <sheetIdMap count="1">
      <sheetId val="1"/>
    </sheetIdMap>
  </header>
  <header guid="{6C63FC2A-D631-4435-8D26-2F739617AF96}" dateTime="2023-01-09T19:19:35" maxSheetId="2" userName="Пользователь" r:id="rId394" minRId="4886" maxRId="4890">
    <sheetIdMap count="1">
      <sheetId val="1"/>
    </sheetIdMap>
  </header>
  <header guid="{81F8E14B-F48A-4208-8E60-B479FC1A657A}" dateTime="2023-01-10T10:05:52" maxSheetId="2" userName="User" r:id="rId395" minRId="4891">
    <sheetIdMap count="1">
      <sheetId val="1"/>
    </sheetIdMap>
  </header>
  <header guid="{AD9C19F3-D53B-4C12-96EB-893535FC7CD5}" dateTime="2023-01-10T11:28:24" maxSheetId="2" userName="Пользователь" r:id="rId396" minRId="4892" maxRId="4896">
    <sheetIdMap count="1">
      <sheetId val="1"/>
    </sheetIdMap>
  </header>
  <header guid="{734A9FBA-C829-4FB2-8C19-9F2AE37EBBBB}" dateTime="2023-01-11T18:05:36" maxSheetId="2" userName="Пользователь" r:id="rId397" minRId="4897" maxRId="4916">
    <sheetIdMap count="1">
      <sheetId val="1"/>
    </sheetIdMap>
  </header>
  <header guid="{A55F59E5-8356-4443-B8FC-2650FC36D914}" dateTime="2023-01-11T18:37:16" maxSheetId="2" userName="Ольга Владимировна" r:id="rId398" minRId="4917" maxRId="4920">
    <sheetIdMap count="1">
      <sheetId val="1"/>
    </sheetIdMap>
  </header>
  <header guid="{A95F5122-6091-460E-8127-18218BCC95D0}" dateTime="2023-01-11T18:37:18" maxSheetId="2" userName="Ольга Владимировна" r:id="rId399">
    <sheetIdMap count="1">
      <sheetId val="1"/>
    </sheetIdMap>
  </header>
  <header guid="{2266E0FD-3FA7-43C1-9339-0C143EC6CEAA}" dateTime="2023-01-16T09:46:16" maxSheetId="2" userName="User" r:id="rId400">
    <sheetIdMap count="1">
      <sheetId val="1"/>
    </sheetIdMap>
  </header>
  <header guid="{5D0DD70C-AC09-417F-8EA0-489B6023062E}" dateTime="2023-01-16T09:47:56" maxSheetId="2" userName="User" r:id="rId401" minRId="4927">
    <sheetIdMap count="1">
      <sheetId val="1"/>
    </sheetIdMap>
  </header>
  <header guid="{91B631BC-69E2-432B-8B61-6BB79A36E5A1}" dateTime="2023-01-16T15:10:38" maxSheetId="2" userName="User" r:id="rId402">
    <sheetIdMap count="1">
      <sheetId val="1"/>
    </sheetIdMap>
  </header>
  <header guid="{293CD8FC-F13D-49D8-A8FD-4E7B9AC90A2C}" dateTime="2023-01-25T15:33:47" maxSheetId="2" userName="Пользователь" r:id="rId403" minRId="4932" maxRId="4950">
    <sheetIdMap count="1">
      <sheetId val="1"/>
    </sheetIdMap>
  </header>
  <header guid="{ACCB13A5-94A0-44B7-9981-E9959DBD5E3B}" dateTime="2023-01-25T16:11:54" maxSheetId="2" userName="Пользователь" r:id="rId404" minRId="4951" maxRId="4990">
    <sheetIdMap count="1">
      <sheetId val="1"/>
    </sheetIdMap>
  </header>
  <header guid="{EE48A6E6-9FE2-4441-B4C9-A96853E2FB18}" dateTime="2023-01-25T16:32:00" maxSheetId="2" userName="Пользователь" r:id="rId405" minRId="4991" maxRId="4995">
    <sheetIdMap count="1">
      <sheetId val="1"/>
    </sheetIdMap>
  </header>
  <header guid="{CF48DA37-9804-45A7-AD18-F7D3D5594C85}" dateTime="2023-01-25T16:37:43" maxSheetId="2" userName="Пользователь" r:id="rId406" minRId="4996" maxRId="5023">
    <sheetIdMap count="1">
      <sheetId val="1"/>
    </sheetIdMap>
  </header>
  <header guid="{FFE2B373-A7B7-45C7-9A93-161A4C903B21}" dateTime="2023-01-25T16:39:06" maxSheetId="2" userName="Пользователь" r:id="rId407" minRId="5026" maxRId="5036">
    <sheetIdMap count="1">
      <sheetId val="1"/>
    </sheetIdMap>
  </header>
  <header guid="{25804C31-2B05-43F8-B6F2-9478DF8F44A0}" dateTime="2023-01-25T16:42:36" maxSheetId="2" userName="Пользователь" r:id="rId408" minRId="5037" maxRId="5050">
    <sheetIdMap count="1">
      <sheetId val="1"/>
    </sheetIdMap>
  </header>
  <header guid="{68B13431-0472-4217-B556-AFC578BDEACB}" dateTime="2023-01-25T16:44:05" maxSheetId="2" userName="Пользователь" r:id="rId409" minRId="5051" maxRId="5052">
    <sheetIdMap count="1">
      <sheetId val="1"/>
    </sheetIdMap>
  </header>
  <header guid="{1C2D3ACC-7E07-4436-BA52-610BF4867CB3}" dateTime="2023-01-25T16:48:50" maxSheetId="2" userName="Пользователь" r:id="rId410" minRId="5053" maxRId="5115">
    <sheetIdMap count="1">
      <sheetId val="1"/>
    </sheetIdMap>
  </header>
  <header guid="{623C8A9D-EE03-4AC9-9650-FCF99B93F17D}" dateTime="2023-01-25T16:52:52" maxSheetId="2" userName="Пользователь" r:id="rId411" minRId="5118" maxRId="5141">
    <sheetIdMap count="1">
      <sheetId val="1"/>
    </sheetIdMap>
  </header>
  <header guid="{74D8DDDF-7349-482C-AB2A-ACF32E2272B4}" dateTime="2023-01-25T16:56:33" maxSheetId="2" userName="Пользователь" r:id="rId412" minRId="5142" maxRId="5188">
    <sheetIdMap count="1">
      <sheetId val="1"/>
    </sheetIdMap>
  </header>
  <header guid="{76EA57FC-491F-42BD-8F51-3934B99D67FD}" dateTime="2023-01-25T17:00:24" maxSheetId="2" userName="Пользователь" r:id="rId413" minRId="5189" maxRId="5230">
    <sheetIdMap count="1">
      <sheetId val="1"/>
    </sheetIdMap>
  </header>
  <header guid="{20A0D411-26A4-4F49-A1B9-612B971EF056}" dateTime="2023-01-25T17:00:49" maxSheetId="2" userName="Пользователь" r:id="rId414" minRId="5233">
    <sheetIdMap count="1">
      <sheetId val="1"/>
    </sheetIdMap>
  </header>
  <header guid="{35A9E28C-611D-4C58-80EB-005FBDD334A6}" dateTime="2023-01-25T17:01:01" maxSheetId="2" userName="Пользователь" r:id="rId415" minRId="5234">
    <sheetIdMap count="1">
      <sheetId val="1"/>
    </sheetIdMap>
  </header>
  <header guid="{ECB1FE65-2C5D-4B0E-B0E0-FA3E0CC3A455}" dateTime="2023-01-25T17:04:10" maxSheetId="2" userName="Пользователь" r:id="rId416" minRId="5235" maxRId="5245">
    <sheetIdMap count="1">
      <sheetId val="1"/>
    </sheetIdMap>
  </header>
  <header guid="{A5FF0EBA-B530-43BA-8DF3-3CE05380D323}" dateTime="2023-01-25T17:13:17" maxSheetId="2" userName="Пользователь" r:id="rId417" minRId="5248" maxRId="5303">
    <sheetIdMap count="1">
      <sheetId val="1"/>
    </sheetIdMap>
  </header>
  <header guid="{1839504A-B988-420B-A704-25DBB62A804C}" dateTime="2023-01-25T17:18:16" maxSheetId="2" userName="Пользователь" r:id="rId418" minRId="5306" maxRId="5307">
    <sheetIdMap count="1">
      <sheetId val="1"/>
    </sheetIdMap>
  </header>
  <header guid="{F7D21988-A00F-42F4-9E72-6F8285D8C8C9}" dateTime="2023-01-25T18:23:55" maxSheetId="2" userName="Пользователь" r:id="rId419" minRId="5308" maxRId="5309">
    <sheetIdMap count="1">
      <sheetId val="1"/>
    </sheetIdMap>
  </header>
  <header guid="{1209B640-BB9C-4939-91DF-FC08AE9431F6}" dateTime="2023-01-25T18:35:45" maxSheetId="2" userName="Пользователь" r:id="rId420" minRId="5310">
    <sheetIdMap count="1">
      <sheetId val="1"/>
    </sheetIdMap>
  </header>
  <header guid="{7041A907-6B62-47BC-8F70-9DBFFDB75608}" dateTime="2023-01-26T13:22:02" maxSheetId="2" userName="Пользователь" r:id="rId421" minRId="5311" maxRId="5352">
    <sheetIdMap count="1">
      <sheetId val="1"/>
    </sheetIdMap>
  </header>
  <header guid="{940927A3-186F-4147-992D-9F7E372CD147}" dateTime="2023-01-26T13:27:14" maxSheetId="2" userName="Пользователь" r:id="rId422" minRId="5355">
    <sheetIdMap count="1">
      <sheetId val="1"/>
    </sheetIdMap>
  </header>
  <header guid="{C7CDEA65-B61A-4411-9351-61FE5D74B012}" dateTime="2023-01-26T14:35:19" maxSheetId="2" userName="Пользователь" r:id="rId423" minRId="5356" maxRId="5376">
    <sheetIdMap count="1">
      <sheetId val="1"/>
    </sheetIdMap>
  </header>
  <header guid="{6EF2FABF-35D7-47D1-A5D4-57CD52304F8F}" dateTime="2023-01-26T15:10:44" maxSheetId="2" userName="Пользователь" r:id="rId424" minRId="5377" maxRId="5378">
    <sheetIdMap count="1">
      <sheetId val="1"/>
    </sheetIdMap>
  </header>
  <header guid="{43618704-814B-4600-BEC1-D1C56DA178FC}" dateTime="2023-01-26T15:40:58" maxSheetId="2" userName="Ольга Владимировна" r:id="rId425" minRId="5379">
    <sheetIdMap count="1">
      <sheetId val="1"/>
    </sheetIdMap>
  </header>
  <header guid="{3E375247-4729-42F7-8EA9-2D93A9731E17}" dateTime="2023-01-26T16:12:30" maxSheetId="2" userName="User" r:id="rId426" minRId="5380">
    <sheetIdMap count="1">
      <sheetId val="1"/>
    </sheetIdMap>
  </header>
  <header guid="{1EB175A9-DD9D-42E2-AE07-3E473BDC94EC}" dateTime="2023-01-26T16:44:05" maxSheetId="2" userName="User" r:id="rId427" minRId="5381">
    <sheetIdMap count="1">
      <sheetId val="1"/>
    </sheetIdMap>
  </header>
  <header guid="{BEB6FB8D-BD58-4D9B-A76F-2287AED0BFE0}" dateTime="2023-01-30T10:01:18" maxSheetId="2" userName="User" r:id="rId428" minRId="5382">
    <sheetIdMap count="1">
      <sheetId val="1"/>
    </sheetIdMap>
  </header>
  <header guid="{23E159FF-183F-4E98-9936-3246B9895921}" dateTime="2023-03-14T08:53:59" maxSheetId="2" userName="Пользователь" r:id="rId429" minRId="5383" maxRId="5388">
    <sheetIdMap count="1">
      <sheetId val="1"/>
    </sheetIdMap>
  </header>
  <header guid="{A6648275-E7FC-43EC-83EA-7DD3F3AE8EFD}" dateTime="2023-03-14T08:54:53" maxSheetId="2" userName="Пользователь" r:id="rId430" minRId="5389" maxRId="5390">
    <sheetIdMap count="1">
      <sheetId val="1"/>
    </sheetIdMap>
  </header>
  <header guid="{1E081A8B-50F8-48B1-BB74-E5A75F0CA77E}" dateTime="2023-03-14T08:58:26" maxSheetId="2" userName="Пользователь" r:id="rId431" minRId="5391" maxRId="5417">
    <sheetIdMap count="1">
      <sheetId val="1"/>
    </sheetIdMap>
  </header>
  <header guid="{8C7FD5C9-0500-4259-B47E-DCF689F60486}" dateTime="2023-03-14T09:05:53" maxSheetId="2" userName="Пользователь" r:id="rId432" minRId="5420" maxRId="5454">
    <sheetIdMap count="1">
      <sheetId val="1"/>
    </sheetIdMap>
  </header>
  <header guid="{5726A4DD-52BD-436A-86AE-B100888BF000}" dateTime="2023-03-14T11:29:27" maxSheetId="2" userName="Пользователь" r:id="rId433" minRId="5455" maxRId="5479">
    <sheetIdMap count="1">
      <sheetId val="1"/>
    </sheetIdMap>
  </header>
  <header guid="{5B52BFE0-69DE-4EB3-B6CC-AE8FD54F1C4A}" dateTime="2023-03-14T11:34:44" maxSheetId="2" userName="Пользователь" r:id="rId434" minRId="5482" maxRId="5507">
    <sheetIdMap count="1">
      <sheetId val="1"/>
    </sheetIdMap>
  </header>
  <header guid="{C2A1D47E-600F-4CD7-B50C-6F40E26BA517}" dateTime="2023-03-14T11:42:47" maxSheetId="2" userName="Пользователь" r:id="rId435" minRId="5508" maxRId="5538">
    <sheetIdMap count="1">
      <sheetId val="1"/>
    </sheetIdMap>
  </header>
  <header guid="{5559364D-2EC2-4A1E-8DEC-CE3211065456}" dateTime="2023-03-14T11:47:25" maxSheetId="2" userName="Пользователь" r:id="rId436" minRId="5541" maxRId="5582">
    <sheetIdMap count="1">
      <sheetId val="1"/>
    </sheetIdMap>
  </header>
  <header guid="{A6A1C626-EA59-48E2-8152-E086972655F3}" dateTime="2023-03-14T11:51:02" maxSheetId="2" userName="Пользователь" r:id="rId437" minRId="5585" maxRId="5608">
    <sheetIdMap count="1">
      <sheetId val="1"/>
    </sheetIdMap>
  </header>
  <header guid="{FAAD02D3-91C6-418E-90A6-C5130BD8FBD7}" dateTime="2023-03-14T11:53:22" maxSheetId="2" userName="Пользователь" r:id="rId438" minRId="5611" maxRId="5617">
    <sheetIdMap count="1">
      <sheetId val="1"/>
    </sheetIdMap>
  </header>
  <header guid="{B2D7253F-5581-44BA-BD3A-6698EE66091B}" dateTime="2023-03-14T11:55:25" maxSheetId="2" userName="Пользователь" r:id="rId439" minRId="5618" maxRId="5635">
    <sheetIdMap count="1">
      <sheetId val="1"/>
    </sheetIdMap>
  </header>
  <header guid="{D62E52B7-537F-407C-9F52-D56267354979}" dateTime="2023-03-14T11:56:24" maxSheetId="2" userName="Пользователь" r:id="rId440" minRId="5636" maxRId="5637">
    <sheetIdMap count="1">
      <sheetId val="1"/>
    </sheetIdMap>
  </header>
  <header guid="{1A734361-9D35-43AE-A2B6-CFD9F9FC7976}" dateTime="2023-03-14T13:09:19" maxSheetId="2" userName="Пользователь" r:id="rId441" minRId="5638" maxRId="5688">
    <sheetIdMap count="1">
      <sheetId val="1"/>
    </sheetIdMap>
  </header>
  <header guid="{EEB05A08-3A87-4BD8-8239-739D7EA172BD}" dateTime="2023-03-14T13:09:40" maxSheetId="2" userName="Пользователь" r:id="rId442" minRId="5689">
    <sheetIdMap count="1">
      <sheetId val="1"/>
    </sheetIdMap>
  </header>
  <header guid="{139905D1-EAE6-40E8-8B9D-136BA5C178BF}" dateTime="2023-03-14T13:16:36" maxSheetId="2" userName="Пользователь" r:id="rId443" minRId="5690" maxRId="5742">
    <sheetIdMap count="1">
      <sheetId val="1"/>
    </sheetIdMap>
  </header>
  <header guid="{F48CE36E-2030-4290-9D34-DA07755C5C9F}" dateTime="2023-03-14T13:30:46" maxSheetId="2" userName="Пользователь" r:id="rId444" minRId="5743" maxRId="5831">
    <sheetIdMap count="1">
      <sheetId val="1"/>
    </sheetIdMap>
  </header>
  <header guid="{E2BAE93F-2ACA-456C-AA7E-D888F2C5448C}" dateTime="2023-03-14T13:31:29" maxSheetId="2" userName="Пользователь" r:id="rId445" minRId="5832" maxRId="5835">
    <sheetIdMap count="1">
      <sheetId val="1"/>
    </sheetIdMap>
  </header>
  <header guid="{A57AEB55-FFDF-485A-B6C6-17214B2AA0F4}" dateTime="2023-03-14T13:41:11" maxSheetId="2" userName="Пользователь" r:id="rId446" minRId="5836" maxRId="5936">
    <sheetIdMap count="1">
      <sheetId val="1"/>
    </sheetIdMap>
  </header>
  <header guid="{BF02EC2E-B9EA-4735-AB83-6F00A860ADDC}" dateTime="2023-03-14T13:42:26" maxSheetId="2" userName="Пользователь" r:id="rId447" minRId="5937" maxRId="5967">
    <sheetIdMap count="1">
      <sheetId val="1"/>
    </sheetIdMap>
  </header>
  <header guid="{0A040986-84EC-4022-9591-BF72AA9E3F09}" dateTime="2023-03-14T13:43:04" maxSheetId="2" userName="Пользователь" r:id="rId448" minRId="5968" maxRId="5979">
    <sheetIdMap count="1">
      <sheetId val="1"/>
    </sheetIdMap>
  </header>
  <header guid="{A239AB50-114C-47A0-BEA8-EDF741071876}" dateTime="2023-03-14T13:44:00" maxSheetId="2" userName="Пользователь" r:id="rId449" minRId="5980" maxRId="5982">
    <sheetIdMap count="1">
      <sheetId val="1"/>
    </sheetIdMap>
  </header>
  <header guid="{EDC8B8A6-25EE-49E9-BCA5-B71B0EAEA76F}" dateTime="2023-03-14T14:05:40" maxSheetId="2" userName="Пользователь" r:id="rId450" minRId="5983" maxRId="5984">
    <sheetIdMap count="1">
      <sheetId val="1"/>
    </sheetIdMap>
  </header>
  <header guid="{148B03F6-DD9D-4FE7-8EBC-E18ACE018777}" dateTime="2023-03-14T15:32:10" maxSheetId="2" userName="Пользователь" r:id="rId451" minRId="5985" maxRId="5996">
    <sheetIdMap count="1">
      <sheetId val="1"/>
    </sheetIdMap>
  </header>
  <header guid="{3FC0FB14-022B-419B-A87C-E28D9316D28C}" dateTime="2023-03-14T15:35:15" maxSheetId="2" userName="Пользователь" r:id="rId452" minRId="5997" maxRId="5998">
    <sheetIdMap count="1">
      <sheetId val="1"/>
    </sheetIdMap>
  </header>
  <header guid="{D6EE869F-E3E1-409E-A6F3-CDA6A7DDD68A}" dateTime="2023-03-14T15:48:49" maxSheetId="2" userName="Ольга Владимировна" r:id="rId453" minRId="5999" maxRId="6000">
    <sheetIdMap count="1">
      <sheetId val="1"/>
    </sheetIdMap>
  </header>
  <header guid="{60C6D242-6F9F-4844-9C58-3060CB08A4E5}" dateTime="2023-03-24T09:57:33" maxSheetId="2" userName="Пользователь" r:id="rId454" minRId="600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5999" sId="1" odxf="1">
    <oc r="F1" t="inlineStr">
      <is>
        <t xml:space="preserve">Приложение № 3       </t>
      </is>
    </oc>
    <nc r="F1" t="inlineStr">
      <is>
        <t xml:space="preserve">Приложение №4       </t>
      </is>
    </nc>
    <odxf/>
  </rcc>
  <rcc rId="6000" sId="1" odxf="1">
    <oc r="F3" t="inlineStr">
      <is>
        <t>от 26 января 2023  № 236</t>
      </is>
    </oc>
    <nc r="F3" t="inlineStr">
      <is>
        <t>от     марта 2023  № ____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" sId="1" odxf="1" dxf="1">
    <nc r="H24">
      <f>F23+F24+F28+F29+F32+F33+F34+F35++F36+F38+F39+F44+F45+F46+F47+F48+F49+F53+F67+F66+F71+F114+F115+F117+F118+F119+F120+F122+F123+F124+F125+F127+F128+F129+F130+F132+F134+F137+F138+F139+F140+F141+F142+F143+F144+F146+F161+F163+F164+F166+F168+F169+F171+F173+F174+F177+F178+F179+F180+F213+F218+F226+F227+F236+F281+F389+F391+F416+F424+F426+F437+F438+F439+F440+F442+F443+F444+F445+F447+F448+F463</f>
    </nc>
    <odxf>
      <numFmt numFmtId="0" formatCode="General"/>
    </odxf>
    <ndxf>
      <numFmt numFmtId="165" formatCode="0.00000"/>
    </ndxf>
  </rcc>
  <rcc rId="714" sId="1">
    <nc r="H500">
      <v>999</v>
    </nc>
  </rcc>
  <rcc rId="715" sId="1">
    <nc r="I500">
      <v>527519.24</v>
    </nc>
  </rcc>
  <rcc rId="716" sId="1">
    <nc r="H501" t="inlineStr">
      <is>
        <t>Мп</t>
      </is>
    </nc>
  </rcc>
  <rcc rId="717" sId="1">
    <nc r="I501">
      <f>F501-I500</f>
    </nc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5" sId="1" numFmtId="4">
    <oc r="F511">
      <v>3702.4989999999998</v>
    </oc>
    <nc r="F511">
      <v>5889.57</v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6" sId="1" numFmtId="4">
    <oc r="F512">
      <v>1118.191</v>
    </oc>
    <nc r="F512">
      <v>21254.62</v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7" sId="1" odxf="1" dxf="1">
    <nc r="A511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21">
    <dxf>
      <fill>
        <patternFill>
          <bgColor theme="0"/>
        </patternFill>
      </fill>
    </dxf>
  </rfmt>
  <rcc rId="1608" sId="1" numFmtId="4">
    <oc r="F521">
      <f>24589.9-9180</f>
    </oc>
    <nc r="F521">
      <v>15905.013440000001</v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09" sId="1" ref="A522:XFD522" action="insertRow"/>
  <rcc rId="1610" sId="1">
    <nc r="B522" t="inlineStr">
      <is>
        <t>11</t>
      </is>
    </nc>
  </rcc>
  <rcc rId="1611" sId="1">
    <nc r="C522" t="inlineStr">
      <is>
        <t>03</t>
      </is>
    </nc>
  </rcc>
  <rcc rId="1612" sId="1">
    <nc r="D522" t="inlineStr">
      <is>
        <t>09301 83180</t>
      </is>
    </nc>
  </rcc>
  <rcc rId="1613" sId="1">
    <nc r="E522" t="inlineStr">
      <is>
        <t>612</t>
      </is>
    </nc>
  </rcc>
  <rcc rId="1614" sId="1" numFmtId="4">
    <nc r="F522">
      <v>407.12655999999998</v>
    </nc>
  </rcc>
  <rcc rId="1615" sId="1">
    <oc r="F520">
      <f>F521</f>
    </oc>
    <nc r="F520">
      <f>SUM(F521:F522)</f>
    </nc>
  </rcc>
  <rcc rId="1616" sId="1" odxf="1" dxf="1">
    <nc r="A52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rc rId="1617" sId="1" ref="A523:XFD524" action="insertRow"/>
  <rm rId="1618" sheetId="1" source="A527:XFD528" destination="A523:XFD524" sourceSheetId="1">
    <rfmt sheetId="1" xfDxf="1" sqref="A523:XFD523" start="0" length="0">
      <dxf>
        <font>
          <i/>
          <name val="Times New Roman CYR"/>
          <family val="1"/>
        </font>
        <alignment wrapText="1"/>
      </dxf>
    </rfmt>
    <rfmt sheetId="1" xfDxf="1" sqref="A524:XFD524" start="0" length="0">
      <dxf>
        <font>
          <i/>
          <name val="Times New Roman CYR"/>
          <family val="1"/>
        </font>
        <alignment wrapText="1"/>
      </dxf>
    </rfmt>
    <rfmt sheetId="1" sqref="A52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3" start="0" length="0">
      <dxf>
        <numFmt numFmtId="165" formatCode="0.00000"/>
      </dxf>
    </rfmt>
    <rfmt sheetId="1" sqref="A52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4" start="0" length="0">
      <dxf>
        <numFmt numFmtId="165" formatCode="0.00000"/>
      </dxf>
    </rfmt>
  </rm>
  <rrc rId="1619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</rrc>
  <rrc rId="1620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функцион.структура!$A$1:$F$559</formula>
    <oldFormula>функцион.структура!$A$1:$F$559</oldFormula>
  </rdn>
  <rdn rId="0" localSheetId="1" customView="1" name="Z_629918FE_B1DF_464A_BF50_03D18729BC02_.wvu.FilterData" hidden="1" oldHidden="1">
    <formula>функцион.структура!$A$17:$K$566</formula>
    <oldFormula>функцион.структура!$A$17:$K$566</oldFormula>
  </rdn>
  <rcv guid="{629918FE-B1DF-464A-BF50-03D18729BC02}" action="add"/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23" sId="1" ref="A527:XFD528" action="insertRow"/>
  <rcc rId="1624" sId="1" odxf="1" dxf="1">
    <nc r="A52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625" sId="1" odxf="1" dxf="1">
    <nc r="B5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26" sId="1" odxf="1" dxf="1">
    <nc r="C5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27" start="0" length="0">
    <dxf>
      <font>
        <i/>
        <name val="Times New Roman"/>
        <family val="1"/>
      </font>
    </dxf>
  </rfmt>
  <rcc rId="1627" sId="1">
    <nc r="F527">
      <f>F528</f>
    </nc>
  </rcc>
  <rcc rId="1628" sId="1">
    <nc r="A52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629" sId="1">
    <nc r="B528" t="inlineStr">
      <is>
        <t>11</t>
      </is>
    </nc>
  </rcc>
  <rcc rId="1630" sId="1">
    <nc r="C528" t="inlineStr">
      <is>
        <t>03</t>
      </is>
    </nc>
  </rcc>
  <rcc rId="1631" sId="1">
    <nc r="D527" t="inlineStr">
      <is>
        <t>093P5 50810</t>
      </is>
    </nc>
  </rcc>
  <rcc rId="1632" sId="1" odxf="1" dxf="1">
    <nc r="D528" t="inlineStr">
      <is>
        <t>093P5 50810</t>
      </is>
    </nc>
    <ndxf>
      <font>
        <i/>
        <name val="Times New Roman"/>
        <family val="1"/>
      </font>
    </ndxf>
  </rcc>
  <rcc rId="1633" sId="1">
    <nc r="E528" t="inlineStr">
      <is>
        <t>612</t>
      </is>
    </nc>
  </rcc>
  <rcc rId="1634" sId="1" numFmtId="4">
    <nc r="F528">
      <v>611.9425</v>
    </nc>
  </rcc>
  <rrc rId="1635" sId="1" ref="A529:XFD530" action="insertRow"/>
  <rcc rId="1636" sId="1" odxf="1" dxf="1">
    <nc r="A529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637" sId="1" odxf="1" dxf="1">
    <nc r="B52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38" sId="1" odxf="1" dxf="1">
    <nc r="C5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39" sId="1">
    <nc r="F529">
      <f>F530</f>
    </nc>
  </rcc>
  <rcc rId="1640" sId="1">
    <nc r="A53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641" sId="1">
    <nc r="B530" t="inlineStr">
      <is>
        <t>11</t>
      </is>
    </nc>
  </rcc>
  <rcc rId="1642" sId="1">
    <nc r="C530" t="inlineStr">
      <is>
        <t>03</t>
      </is>
    </nc>
  </rcc>
  <rcc rId="1643" sId="1">
    <nc r="E530" t="inlineStr">
      <is>
        <t>612</t>
      </is>
    </nc>
  </rcc>
  <rcc rId="1644" sId="1">
    <nc r="D529" t="inlineStr">
      <is>
        <t>093P5 52290</t>
      </is>
    </nc>
  </rcc>
  <rcc rId="1645" sId="1">
    <nc r="D530" t="inlineStr">
      <is>
        <t>093P5 52290</t>
      </is>
    </nc>
  </rcc>
  <rcc rId="1646" sId="1" numFmtId="4">
    <nc r="F530">
      <v>602.16150000000005</v>
    </nc>
  </rcc>
  <rcc rId="1647" sId="1">
    <oc r="F520">
      <f>SUM(F521:F522)</f>
    </oc>
    <nc r="F520">
      <f>SUM(F521:F522)</f>
    </nc>
  </rcc>
  <rcc rId="1648" sId="1">
    <oc r="F518">
      <f>F519</f>
    </oc>
    <nc r="F518">
      <f>F519+F527+F529</f>
    </nc>
  </rcc>
  <rfmt sheetId="1" sqref="A527:XFD527" start="0" length="2147483647">
    <dxf>
      <font>
        <i val="0"/>
      </font>
    </dxf>
  </rfmt>
  <rfmt sheetId="1" sqref="A527:XFD527" start="0" length="2147483647">
    <dxf>
      <font>
        <i/>
      </font>
    </dxf>
  </rfmt>
  <rfmt sheetId="1" sqref="A529:XFD529" start="0" length="2147483647">
    <dxf>
      <font>
        <i val="0"/>
      </font>
    </dxf>
  </rfmt>
  <rfmt sheetId="1" sqref="A529:XFD529" start="0" length="2147483647">
    <dxf>
      <font>
        <i/>
      </font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9" sId="1" numFmtId="4">
    <oc r="F537">
      <v>25156.799999999999</v>
    </oc>
    <nc r="F537"/>
  </rcc>
  <rrc rId="1650" sId="1" ref="A510:XFD512" action="insertRow"/>
  <rcc rId="1651" sId="1" odxf="1" dxf="1">
    <nc r="A510" t="inlineStr">
      <is>
        <t>Подпрограмма «Другие вопросы в области физической культуры и спорта»</t>
      </is>
    </nc>
    <odxf>
      <font>
        <b val="0"/>
        <i val="0"/>
        <name val="Times New Roman"/>
        <family val="1"/>
      </font>
      <alignment horizontal="left" vertical="top"/>
    </odxf>
    <ndxf>
      <font>
        <b/>
        <i/>
        <name val="Times New Roman"/>
        <family val="1"/>
      </font>
      <alignment horizontal="general" vertical="center"/>
    </ndxf>
  </rcc>
  <rcc rId="1652" sId="1" odxf="1" dxf="1">
    <nc r="B510" t="inlineStr">
      <is>
        <t>11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510" start="0" length="0">
    <dxf>
      <font>
        <b/>
        <i/>
        <name val="Times New Roman"/>
        <family val="1"/>
      </font>
    </dxf>
  </rfmt>
  <rcc rId="1653" sId="1" odxf="1" dxf="1">
    <nc r="D510" t="inlineStr">
      <is>
        <t>09400 00000</t>
      </is>
    </nc>
    <odxf>
      <font>
        <b val="0"/>
        <i val="0"/>
        <name val="Times New Roman"/>
        <family val="1"/>
      </font>
      <fill>
        <patternFill patternType="solid">
          <bgColor indexed="9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E51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F51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G510" start="0" length="0">
    <dxf>
      <numFmt numFmtId="165" formatCode="0.00000"/>
      <fill>
        <patternFill patternType="none">
          <bgColor indexed="65"/>
        </patternFill>
      </fill>
    </dxf>
  </rfmt>
  <rfmt sheetId="1" sqref="H510" start="0" length="0">
    <dxf>
      <numFmt numFmtId="165" formatCode="0.00000"/>
    </dxf>
  </rfmt>
  <rcc rId="1654" sId="1" odxf="1" dxf="1">
    <nc r="A511" t="inlineStr">
      <is>
        <t>Основное мероприятие "Расходы, связанные с выполнением деятельности учреждений физической культуры и спорта"</t>
      </is>
    </nc>
    <odxf>
      <font>
        <i val="0"/>
        <name val="Times New Roman"/>
        <family val="1"/>
      </font>
      <alignment horizontal="left" vertical="top"/>
    </odxf>
    <ndxf>
      <font>
        <i/>
        <name val="Times New Roman"/>
        <family val="1"/>
      </font>
      <alignment horizontal="general" vertical="center"/>
    </ndxf>
  </rcc>
  <rcc rId="1655" sId="1" odxf="1" dxf="1">
    <nc r="B51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11" start="0" length="0">
    <dxf>
      <font>
        <i/>
        <name val="Times New Roman"/>
        <family val="1"/>
      </font>
    </dxf>
  </rfmt>
  <rcc rId="1656" sId="1" odxf="1" dxf="1">
    <nc r="D511" t="inlineStr">
      <is>
        <t>09400 00000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5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5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11" start="0" length="0">
    <dxf>
      <numFmt numFmtId="165" formatCode="0.00000"/>
      <fill>
        <patternFill patternType="none">
          <bgColor indexed="65"/>
        </patternFill>
      </fill>
    </dxf>
  </rfmt>
  <rcc rId="1657" sId="1" odxf="1" dxf="1">
    <nc r="A512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odxf>
      <font>
        <i val="0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rgb="FF000000"/>
        <name val="Times New Roman"/>
        <family val="1"/>
      </font>
      <alignment horizontal="justify" vertical="center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cc rId="1658" sId="1">
    <nc r="B512" t="inlineStr">
      <is>
        <t>11</t>
      </is>
    </nc>
  </rcc>
  <rcc rId="1659" sId="1" odxf="1" dxf="1">
    <nc r="D512" t="inlineStr">
      <is>
        <t>094P5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660" sId="1" odxf="1" dxf="1">
    <nc r="F512">
      <f>F513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12" start="0" length="0">
    <dxf>
      <numFmt numFmtId="165" formatCode="0.00000"/>
      <fill>
        <patternFill patternType="none">
          <bgColor indexed="65"/>
        </patternFill>
      </fill>
    </dxf>
  </rfmt>
  <rcc rId="1661" sId="1">
    <nc r="F511">
      <f>F512</f>
    </nc>
  </rcc>
  <rcc rId="1662" sId="1">
    <nc r="C510" t="inlineStr">
      <is>
        <t>02</t>
      </is>
    </nc>
  </rcc>
  <rcc rId="1663" sId="1">
    <nc r="C511" t="inlineStr">
      <is>
        <t>02</t>
      </is>
    </nc>
  </rcc>
  <rcc rId="1664" sId="1">
    <nc r="C512" t="inlineStr">
      <is>
        <t>02</t>
      </is>
    </nc>
  </rcc>
  <rcc rId="1665" sId="1">
    <oc r="F499">
      <f>F500+F506</f>
    </oc>
    <nc r="F499">
      <f>F500+F506+F510</f>
    </nc>
  </rcc>
  <rrc rId="1666" sId="1" ref="A511:XFD511" action="deleteRow">
    <undo index="65535" exp="ref" v="1" dr="F511" r="F510" sId="1"/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09400 00000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1">
        <f>F512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numFmt numFmtId="165" formatCode="0.00000"/>
      </dxf>
    </rfmt>
  </rrc>
  <rcc rId="1667" sId="1">
    <nc r="F510">
      <f>F511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8" sId="1" odxf="1" dxf="1">
    <oc r="A512" t="inlineStr">
      <is>
        <t>Cодержание инструкторов по физической культуре и спорту</t>
      </is>
    </oc>
    <nc r="A512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odxf>
      <font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family val="1"/>
      </font>
      <border outline="0">
        <left/>
        <right/>
        <top/>
        <bottom/>
      </border>
    </ndxf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69" sId="1" ref="A537:XFD537" action="deleteRow">
    <undo index="65535" exp="ref" v="1" dr="F537" r="F536" sId="1"/>
    <undo index="65535" exp="ref" v="1" dr="F537" r="F535" sId="1"/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family val="1"/>
        </font>
        <alignment horizontal="justify" vertical="center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7">
        <f>F538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7" start="0" length="0">
      <dxf>
        <numFmt numFmtId="165" formatCode="0.00000"/>
      </dxf>
    </rfmt>
  </rrc>
  <rrc rId="1670" sId="1" ref="A537:XFD537" action="deleteRow"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family val="1"/>
        </font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51390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7">
        <f>F538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7" start="0" length="0">
      <dxf>
        <numFmt numFmtId="165" formatCode="0.00000"/>
      </dxf>
    </rfmt>
  </rrc>
  <rrc rId="1671" sId="1" ref="A537:XFD537" action="deleteRow"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7" t="inlineStr">
        <is>
          <t>244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7" start="0" length="0">
      <dxf>
        <numFmt numFmtId="165" formatCode="0.00000"/>
      </dxf>
    </rfmt>
  </rrc>
  <rcc rId="1672" sId="1">
    <oc r="F536">
      <f>F537+#REF!+F540</f>
    </oc>
    <nc r="F536">
      <f>F537+F540</f>
    </nc>
  </rcc>
  <rcc rId="1673" sId="1">
    <oc r="F535">
      <f>F537+F540+#REF!</f>
    </oc>
    <nc r="F535">
      <f>F537+F540</f>
    </nc>
  </rcc>
  <rcc rId="1674" sId="1" numFmtId="4">
    <oc r="F541">
      <v>1725.64</v>
    </oc>
    <nc r="F541">
      <v>1744.319</v>
    </nc>
  </rcc>
  <rcc rId="1675" sId="1" numFmtId="4">
    <oc r="F542">
      <v>521.14</v>
    </oc>
    <nc r="F542">
      <v>526.78099999999995</v>
    </nc>
  </rcc>
  <rcc rId="1676" sId="1" numFmtId="4">
    <oc r="F544">
      <v>71.63</v>
    </oc>
    <nc r="F544">
      <v>97.498999999999995</v>
    </nc>
  </rcc>
  <rcc rId="1677" sId="1">
    <oc r="E545" t="inlineStr">
      <is>
        <t>851</t>
      </is>
    </oc>
    <nc r="E545" t="inlineStr">
      <is>
        <t>852</t>
      </is>
    </nc>
  </rcc>
  <rcc rId="1678" sId="1" numFmtId="4">
    <oc r="F545">
      <v>0</v>
    </oc>
    <nc r="F545">
      <v>4.13</v>
    </nc>
  </rcc>
  <rcc rId="1679" sId="1" odxf="1" dxf="1">
    <oc r="A545" t="inlineStr">
      <is>
        <t>Уплата налога на имущество организаций и земельного налога</t>
      </is>
    </oc>
    <nc r="A545" t="inlineStr">
      <is>
        <t xml:space="preserve">Уплата прочих налогов, сборов </t>
      </is>
    </nc>
    <odxf/>
    <ndxf/>
  </rcc>
  <rcc rId="1680" sId="1">
    <oc r="F540">
      <f>SUM(F541:F545)</f>
    </oc>
    <nc r="F540">
      <f>SUM(F541:F545)</f>
    </nc>
  </rcc>
  <rcc rId="1681" sId="1" numFmtId="4">
    <oc r="F561">
      <v>104.4</v>
    </oc>
    <nc r="F561">
      <v>104.41723</v>
    </nc>
  </rcc>
  <rrc rId="1682" sId="1" ref="A562:XFD567" action="insertRow"/>
  <rcc rId="1683" sId="1" odxf="1" dxf="1">
    <nc r="A562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1684" sId="1" odxf="1" dxf="1">
    <nc r="B56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685" sId="1" odxf="1" dxf="1">
    <nc r="C56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56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6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62" start="0" length="0">
    <dxf>
      <font>
        <b/>
        <name val="Times New Roman"/>
        <family val="1"/>
      </font>
      <fill>
        <patternFill>
          <bgColor theme="8" tint="0.79998168889431442"/>
        </patternFill>
      </fill>
    </dxf>
  </rfmt>
  <rcc rId="1686" sId="1" odxf="1" dxf="1">
    <nc r="A563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7" sId="1" odxf="1" dxf="1">
    <nc r="B563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8" sId="1" odxf="1" dxf="1">
    <nc r="C5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9" sId="1" odxf="1" dxf="1">
    <nc r="D563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63" start="0" length="0">
    <dxf>
      <numFmt numFmtId="0" formatCode="General"/>
      <alignment horizontal="general" vertical="top"/>
    </dxf>
  </rfmt>
  <rcc rId="1690" sId="1" odxf="1" dxf="1">
    <nc r="F563">
      <f>F564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91" sId="1" odxf="1" dxf="1">
    <nc r="A564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1692" sId="1" odxf="1" dxf="1">
    <nc r="B564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693" sId="1" odxf="1" dxf="1">
    <nc r="C564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694" sId="1" odxf="1" dxf="1">
    <nc r="D564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564" start="0" length="0">
    <dxf>
      <numFmt numFmtId="0" formatCode="General"/>
      <alignment horizontal="general" vertical="top"/>
    </dxf>
  </rfmt>
  <rcc rId="1695" sId="1" odxf="1" dxf="1">
    <nc r="F564">
      <f>F565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96" sId="1" odxf="1" dxf="1">
    <nc r="A565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7" sId="1" odxf="1" dxf="1">
    <nc r="B56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8" sId="1" odxf="1" dxf="1">
    <nc r="C56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9" sId="1" odxf="1" dxf="1">
    <nc r="D565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5" start="0" length="0">
    <dxf>
      <numFmt numFmtId="0" formatCode="General"/>
      <alignment horizontal="general" vertical="top"/>
    </dxf>
  </rfmt>
  <rcc rId="1700" sId="1" odxf="1" dxf="1">
    <nc r="F565">
      <f>F566+F569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1" sId="1" odxf="1" dxf="1">
    <nc r="A566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2" sId="1" odxf="1" dxf="1">
    <nc r="B56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3" sId="1" odxf="1" dxf="1">
    <nc r="C56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4" sId="1" odxf="1" dxf="1">
    <nc r="D566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6" start="0" length="0">
    <dxf>
      <font>
        <i/>
        <name val="Times New Roman"/>
        <family val="1"/>
      </font>
    </dxf>
  </rfmt>
  <rcc rId="1705" sId="1" odxf="1" dxf="1">
    <nc r="F566">
      <f>F567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6" sId="1" odxf="1" dxf="1">
    <nc r="A567" t="inlineStr">
      <is>
        <t>Иные межбюджетные трансферты</t>
      </is>
    </nc>
    <odxf/>
    <ndxf/>
  </rcc>
  <rcc rId="1707" sId="1" odxf="1" dxf="1">
    <nc r="B567" t="inlineStr">
      <is>
        <t>14</t>
      </is>
    </nc>
    <odxf/>
    <ndxf/>
  </rcc>
  <rcc rId="1708" sId="1" odxf="1" dxf="1">
    <nc r="C567" t="inlineStr">
      <is>
        <t>03</t>
      </is>
    </nc>
    <odxf/>
    <ndxf/>
  </rcc>
  <rcc rId="1709" sId="1" odxf="1" dxf="1">
    <nc r="D567" t="inlineStr">
      <is>
        <t>02201 63010</t>
      </is>
    </nc>
    <odxf/>
    <ndxf/>
  </rcc>
  <rcc rId="1710" sId="1" odxf="1" dxf="1">
    <nc r="E567" t="inlineStr">
      <is>
        <t>540</t>
      </is>
    </nc>
    <odxf/>
    <ndxf/>
  </rcc>
  <rcc rId="1711" sId="1" numFmtId="4">
    <nc r="F567">
      <v>20000</v>
    </nc>
  </rcc>
  <rrc rId="1712" sId="1" ref="A568:XFD571" action="insertRow"/>
  <rcc rId="1713" sId="1" odxf="1" dxf="1">
    <nc r="A568" t="inlineStr">
      <is>
        <t>Муниципальная программа «Поддержка сельских и городских инициатив в Селенгинском районе на 2020-2024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1714" sId="1" odxf="1" dxf="1">
    <nc r="B568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5" sId="1" odxf="1" dxf="1">
    <nc r="C56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6" sId="1" odxf="1" dxf="1">
    <nc r="D568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68" start="0" length="0">
    <dxf>
      <font>
        <b/>
        <name val="Times New Roman"/>
        <family val="1"/>
      </font>
    </dxf>
  </rfmt>
  <rcc rId="1717" sId="1" odxf="1" dxf="1">
    <nc r="F568">
      <f>F569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8" sId="1" odxf="1" dxf="1">
    <nc r="A569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1719" sId="1" odxf="1" dxf="1">
    <nc r="B56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0" sId="1" odxf="1" dxf="1">
    <nc r="C56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1" sId="1" odxf="1" dxf="1">
    <nc r="D569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9" start="0" length="0">
    <dxf>
      <font>
        <i/>
        <name val="Times New Roman"/>
        <family val="1"/>
      </font>
    </dxf>
  </rfmt>
  <rcc rId="1722" sId="1" odxf="1" dxf="1">
    <nc r="F569">
      <f>F570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3" sId="1" odxf="1" dxf="1">
    <nc r="A570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1724" sId="1" odxf="1" dxf="1">
    <nc r="B57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5" sId="1" odxf="1" dxf="1">
    <nc r="C57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6" sId="1" odxf="1" dxf="1">
    <nc r="D570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70" start="0" length="0">
    <dxf>
      <font>
        <i/>
        <name val="Times New Roman"/>
        <family val="1"/>
      </font>
    </dxf>
  </rfmt>
  <rcc rId="1727" sId="1" odxf="1" dxf="1">
    <nc r="F570">
      <f>F571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8" sId="1" odxf="1" dxf="1">
    <nc r="A571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1729" sId="1">
    <nc r="B571" t="inlineStr">
      <is>
        <t>14</t>
      </is>
    </nc>
  </rcc>
  <rcc rId="1730" sId="1">
    <nc r="C571" t="inlineStr">
      <is>
        <t>03</t>
      </is>
    </nc>
  </rcc>
  <rcc rId="1731" sId="1">
    <nc r="D571" t="inlineStr">
      <is>
        <t>14001 74030</t>
      </is>
    </nc>
  </rcc>
  <rcc rId="1732" sId="1">
    <nc r="E571" t="inlineStr">
      <is>
        <t>540</t>
      </is>
    </nc>
  </rcc>
  <rcc rId="1733" sId="1" numFmtId="4">
    <nc r="F571">
      <v>6030</v>
    </nc>
  </rcc>
  <rrc rId="1734" sId="1" ref="A572:XFD572" action="insertRow"/>
  <rcc rId="1735" sId="1" odxf="1" dxf="1">
    <nc r="A57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cc rId="1736" sId="1" odxf="1" dxf="1">
    <nc r="B57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1737" sId="1" odxf="1" dxf="1">
    <nc r="C57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1738" sId="1" odxf="1" dxf="1">
    <nc r="D57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72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572" start="0" length="0">
    <dxf>
      <font>
        <b/>
        <name val="Times New Roman"/>
        <family val="1"/>
      </font>
    </dxf>
  </rfmt>
  <rrc rId="1739" sId="1" ref="A573:XFD574" action="insertRow"/>
  <rcc rId="1740" sId="1" odxf="1" dxf="1">
    <nc r="A57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general"/>
    </odxf>
    <ndxf>
      <font>
        <b val="0"/>
        <i/>
        <color indexed="8"/>
        <name val="Times New Roman"/>
        <family val="1"/>
      </font>
      <alignment horizontal="left"/>
    </ndxf>
  </rcc>
  <rcc rId="1741" sId="1" odxf="1" dxf="1">
    <nc r="B573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742" sId="1" odxf="1" dxf="1">
    <nc r="C573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743" sId="1" odxf="1" dxf="1">
    <nc r="D573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744" sId="1" odxf="1" dxf="1">
    <nc r="F573">
      <f>F574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745" sId="1" odxf="1" dxf="1">
    <nc r="A574" t="inlineStr">
      <is>
        <t>Иные межбюджетные трансферты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1746" sId="1" odxf="1" dxf="1">
    <nc r="B574" t="inlineStr">
      <is>
        <t>14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747" sId="1" odxf="1" dxf="1">
    <nc r="C574" t="inlineStr">
      <is>
        <t>03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748" sId="1" odxf="1" dxf="1">
    <nc r="D574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749" sId="1" odxf="1" dxf="1">
    <nc r="E574" t="inlineStr">
      <is>
        <t>540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74" start="0" length="0">
    <dxf>
      <font>
        <b val="0"/>
        <name val="Times New Roman"/>
        <family val="1"/>
      </font>
    </dxf>
  </rfmt>
  <rfmt sheetId="1" sqref="G574" start="0" length="0">
    <dxf>
      <font>
        <i val="0"/>
        <name val="Times New Roman CYR"/>
        <family val="1"/>
      </font>
      <numFmt numFmtId="0" formatCode="General"/>
      <fill>
        <patternFill patternType="none">
          <bgColor indexed="65"/>
        </patternFill>
      </fill>
    </dxf>
  </rfmt>
  <rfmt sheetId="1" sqref="H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574:XFD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750" sId="1" numFmtId="4">
    <nc r="F574">
      <v>10309.508900000001</v>
    </nc>
  </rcc>
  <rcc rId="1751" sId="1">
    <nc r="F572">
      <f>F573</f>
    </nc>
  </rcc>
  <rfmt sheetId="1" sqref="F562" start="0" length="0">
    <dxf>
      <numFmt numFmtId="30" formatCode="@"/>
      <fill>
        <patternFill>
          <bgColor indexed="41"/>
        </patternFill>
      </fill>
    </dxf>
  </rfmt>
  <rfmt sheetId="1" sqref="F562">
    <dxf>
      <numFmt numFmtId="165" formatCode="0.00000"/>
    </dxf>
  </rfmt>
  <rcc rId="1752" sId="1">
    <nc r="F562">
      <f>F563+F568+F572</f>
    </nc>
  </rcc>
  <rcc rId="1753" sId="1">
    <oc r="F553">
      <f>F554</f>
    </oc>
    <nc r="F553">
      <f>F554+F562</f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54" sId="1">
    <oc r="E577">
      <v>1623462.675</v>
    </oc>
    <nc r="E577"/>
  </rcc>
  <rcc rId="1755" sId="1">
    <oc r="E578">
      <f>F575-E577</f>
    </oc>
    <nc r="E578"/>
  </rcc>
  <rcc rId="1756" sId="1">
    <oc r="F579">
      <f>F575-F577</f>
    </oc>
    <nc r="F579"/>
  </rcc>
  <rcc rId="1757" sId="1">
    <oc r="H575" t="inlineStr">
      <is>
        <t>Мп</t>
      </is>
    </oc>
    <nc r="H575"/>
  </rcc>
  <rcc rId="1758" sId="1">
    <oc r="I575">
      <f>F575-I561</f>
    </oc>
    <nc r="I575"/>
  </rcc>
  <rcc rId="1759" sId="1" numFmtId="4">
    <oc r="F577">
      <v>1587962.675</v>
    </oc>
    <nc r="F577">
      <v>1870412.4369000001</v>
    </nc>
  </rcc>
  <rcc rId="1760" sId="1">
    <nc r="F580">
      <f>F575-F577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4917" sId="1" ref="A1:XFD4" action="insertRow"/>
  <rfmt sheetId="1" sqref="F1" start="0" length="0">
    <dxf>
      <font>
        <name val="Times New Roman"/>
        <scheme val="none"/>
      </font>
      <alignment horizontal="right" wrapText="0" readingOrder="0"/>
    </dxf>
  </rfmt>
  <rfmt sheetId="1" sqref="G1" start="0" length="0">
    <dxf>
      <font>
        <name val="Times New Roman"/>
        <scheme val="none"/>
      </font>
      <alignment horizontal="right" wrapText="0" readingOrder="0"/>
    </dxf>
  </rfmt>
  <rfmt sheetId="1" sqref="H1" start="0" length="0">
    <dxf>
      <font>
        <name val="Times New Roman"/>
        <scheme val="none"/>
      </font>
      <alignment horizontal="right" wrapText="0" readingOrder="0"/>
    </dxf>
  </rfmt>
  <rfmt sheetId="1" sqref="I1" start="0" length="0">
    <dxf>
      <font>
        <name val="Times New Roman"/>
        <scheme val="none"/>
      </font>
      <alignment horizontal="right" wrapText="0" readingOrder="0"/>
    </dxf>
  </rfmt>
  <rfmt sheetId="1" sqref="J1" start="0" length="0">
    <dxf>
      <font>
        <name val="Times New Roman"/>
        <scheme val="none"/>
      </font>
      <alignment horizontal="right" wrapText="0" readingOrder="0"/>
    </dxf>
  </rfmt>
  <rfmt sheetId="1" sqref="K1" start="0" length="0">
    <dxf>
      <font>
        <name val="Times New Roman"/>
        <scheme val="none"/>
      </font>
      <alignment horizontal="right" wrapText="0" readingOrder="0"/>
    </dxf>
  </rfmt>
  <rfmt sheetId="1" sqref="L1" start="0" length="0">
    <dxf>
      <font>
        <name val="Times New Roman"/>
        <scheme val="none"/>
      </font>
      <alignment horizontal="right" wrapText="0" readingOrder="0"/>
    </dxf>
  </rfmt>
  <rfmt sheetId="1" sqref="M1" start="0" length="0">
    <dxf>
      <font>
        <name val="Times New Roman"/>
        <scheme val="none"/>
      </font>
      <alignment horizontal="right" wrapText="0" readingOrder="0"/>
    </dxf>
  </rfmt>
  <rfmt sheetId="1" sqref="N1" start="0" length="0">
    <dxf>
      <font>
        <name val="Times New Roman"/>
        <scheme val="none"/>
      </font>
      <alignment horizontal="right" wrapText="0" readingOrder="0"/>
    </dxf>
  </rfmt>
  <rfmt sheetId="1" sqref="O1" start="0" length="0">
    <dxf>
      <font>
        <name val="Times New Roman"/>
        <scheme val="none"/>
      </font>
      <alignment horizontal="right" wrapText="0" readingOrder="0"/>
    </dxf>
  </rfmt>
  <rfmt sheetId="1" sqref="P1" start="0" length="0">
    <dxf>
      <font>
        <name val="Times New Roman"/>
        <scheme val="none"/>
      </font>
      <alignment horizontal="right" wrapText="0" readingOrder="0"/>
    </dxf>
  </rfmt>
  <rfmt sheetId="1" sqref="Q1" start="0" length="0">
    <dxf>
      <font>
        <name val="Times New Roman"/>
        <scheme val="none"/>
      </font>
      <alignment horizontal="right" wrapText="0" readingOrder="0"/>
    </dxf>
  </rfmt>
  <rcc rId="4918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fmt sheetId="1" sqref="G2" start="0" length="0">
    <dxf>
      <font>
        <name val="Times New Roman"/>
        <scheme val="none"/>
      </font>
      <alignment horizontal="right" wrapText="0" readingOrder="0"/>
    </dxf>
  </rfmt>
  <rfmt sheetId="1" sqref="H2" start="0" length="0">
    <dxf>
      <font>
        <name val="Times New Roman"/>
        <scheme val="none"/>
      </font>
      <alignment horizontal="right" wrapText="0" readingOrder="0"/>
    </dxf>
  </rfmt>
  <rfmt sheetId="1" sqref="I2" start="0" length="0">
    <dxf>
      <font>
        <name val="Times New Roman"/>
        <scheme val="none"/>
      </font>
      <alignment horizontal="right" wrapText="0" readingOrder="0"/>
    </dxf>
  </rfmt>
  <rfmt sheetId="1" sqref="J2" start="0" length="0">
    <dxf>
      <font>
        <name val="Times New Roman"/>
        <scheme val="none"/>
      </font>
      <alignment horizontal="right" wrapText="0" readingOrder="0"/>
    </dxf>
  </rfmt>
  <rfmt sheetId="1" sqref="K2" start="0" length="0">
    <dxf>
      <font>
        <name val="Times New Roman"/>
        <scheme val="none"/>
      </font>
      <alignment horizontal="right" wrapText="0" readingOrder="0"/>
    </dxf>
  </rfmt>
  <rfmt sheetId="1" sqref="L2" start="0" length="0">
    <dxf>
      <font>
        <name val="Times New Roman"/>
        <scheme val="none"/>
      </font>
      <alignment horizontal="right" wrapText="0" readingOrder="0"/>
    </dxf>
  </rfmt>
  <rfmt sheetId="1" sqref="M2" start="0" length="0">
    <dxf>
      <font>
        <name val="Times New Roman"/>
        <scheme val="none"/>
      </font>
      <alignment horizontal="right" wrapText="0" readingOrder="0"/>
    </dxf>
  </rfmt>
  <rfmt sheetId="1" sqref="N2" start="0" length="0">
    <dxf>
      <font>
        <name val="Times New Roman"/>
        <scheme val="none"/>
      </font>
      <alignment horizontal="right" wrapText="0" readingOrder="0"/>
    </dxf>
  </rfmt>
  <rfmt sheetId="1" sqref="O2" start="0" length="0">
    <dxf>
      <font>
        <name val="Times New Roman"/>
        <scheme val="none"/>
      </font>
      <alignment horizontal="right" wrapText="0" readingOrder="0"/>
    </dxf>
  </rfmt>
  <rfmt sheetId="1" sqref="P2" start="0" length="0">
    <dxf>
      <font>
        <name val="Times New Roman"/>
        <scheme val="none"/>
      </font>
      <alignment horizontal="right" wrapText="0" readingOrder="0"/>
    </dxf>
  </rfmt>
  <rfmt sheetId="1" sqref="Q2" start="0" length="0">
    <dxf>
      <font>
        <name val="Times New Roman"/>
        <scheme val="none"/>
      </font>
      <alignment horizontal="right" wrapText="0" readingOrder="0"/>
    </dxf>
  </rfmt>
  <rcc rId="4919" sId="1" odxf="1" dxf="1">
    <nc r="F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fmt sheetId="1" sqref="G3" start="0" length="0">
    <dxf>
      <font>
        <name val="Times New Roman"/>
        <scheme val="none"/>
      </font>
      <alignment horizontal="right" wrapText="0" readingOrder="0"/>
    </dxf>
  </rfmt>
  <rfmt sheetId="1" sqref="H3" start="0" length="0">
    <dxf>
      <font>
        <name val="Times New Roman"/>
        <scheme val="none"/>
      </font>
      <alignment horizontal="right" wrapText="0" readingOrder="0"/>
    </dxf>
  </rfmt>
  <rfmt sheetId="1" sqref="I3" start="0" length="0">
    <dxf>
      <font>
        <name val="Times New Roman"/>
        <scheme val="none"/>
      </font>
      <alignment horizontal="right" wrapText="0" readingOrder="0"/>
    </dxf>
  </rfmt>
  <rfmt sheetId="1" sqref="J3" start="0" length="0">
    <dxf>
      <font>
        <name val="Times New Roman"/>
        <scheme val="none"/>
      </font>
      <alignment horizontal="right" wrapText="0" readingOrder="0"/>
    </dxf>
  </rfmt>
  <rfmt sheetId="1" sqref="K3" start="0" length="0">
    <dxf>
      <font>
        <name val="Times New Roman"/>
        <scheme val="none"/>
      </font>
      <alignment horizontal="right" wrapText="0" readingOrder="0"/>
    </dxf>
  </rfmt>
  <rfmt sheetId="1" sqref="L3" start="0" length="0">
    <dxf>
      <font>
        <name val="Times New Roman"/>
        <scheme val="none"/>
      </font>
      <alignment horizontal="right" wrapText="0" readingOrder="0"/>
    </dxf>
  </rfmt>
  <rfmt sheetId="1" sqref="M3" start="0" length="0">
    <dxf>
      <font>
        <name val="Times New Roman"/>
        <scheme val="none"/>
      </font>
      <alignment horizontal="right" wrapText="0" readingOrder="0"/>
    </dxf>
  </rfmt>
  <rfmt sheetId="1" sqref="N3" start="0" length="0">
    <dxf>
      <font>
        <name val="Times New Roman"/>
        <scheme val="none"/>
      </font>
      <alignment horizontal="right" wrapText="0" readingOrder="0"/>
    </dxf>
  </rfmt>
  <rfmt sheetId="1" sqref="O3" start="0" length="0">
    <dxf>
      <font>
        <name val="Times New Roman"/>
        <scheme val="none"/>
      </font>
      <alignment horizontal="right" wrapText="0" readingOrder="0"/>
    </dxf>
  </rfmt>
  <rfmt sheetId="1" sqref="P3" start="0" length="0">
    <dxf>
      <font>
        <name val="Times New Roman"/>
        <scheme val="none"/>
      </font>
      <alignment horizontal="right" wrapText="0" readingOrder="0"/>
    </dxf>
  </rfmt>
  <rfmt sheetId="1" sqref="Q3" start="0" length="0">
    <dxf>
      <font>
        <name val="Times New Roman"/>
        <scheme val="none"/>
      </font>
      <alignment horizontal="right" wrapText="0" readingOrder="0"/>
    </dxf>
  </rfmt>
  <rfmt sheetId="1" sqref="F4" start="0" length="0">
    <dxf>
      <font>
        <name val="Times New Roman"/>
        <scheme val="none"/>
      </font>
      <alignment horizontal="right" wrapText="0" readingOrder="0"/>
    </dxf>
  </rfmt>
  <rfmt sheetId="1" sqref="G4" start="0" length="0">
    <dxf>
      <font>
        <name val="Times New Roman"/>
        <scheme val="none"/>
      </font>
      <alignment horizontal="right" wrapText="0" readingOrder="0"/>
    </dxf>
  </rfmt>
  <rfmt sheetId="1" sqref="H4" start="0" length="0">
    <dxf>
      <font>
        <name val="Times New Roman"/>
        <scheme val="none"/>
      </font>
      <alignment horizontal="right" wrapText="0" readingOrder="0"/>
    </dxf>
  </rfmt>
  <rfmt sheetId="1" sqref="I4" start="0" length="0">
    <dxf>
      <font>
        <name val="Times New Roman"/>
        <scheme val="none"/>
      </font>
      <alignment horizontal="right" wrapText="0" readingOrder="0"/>
    </dxf>
  </rfmt>
  <rfmt sheetId="1" sqref="J4" start="0" length="0">
    <dxf>
      <font>
        <name val="Times New Roman"/>
        <scheme val="none"/>
      </font>
      <alignment horizontal="right" wrapText="0" readingOrder="0"/>
    </dxf>
  </rfmt>
  <rfmt sheetId="1" sqref="K4" start="0" length="0">
    <dxf>
      <font>
        <name val="Times New Roman"/>
        <scheme val="none"/>
      </font>
      <alignment horizontal="right" wrapText="0" readingOrder="0"/>
    </dxf>
  </rfmt>
  <rfmt sheetId="1" sqref="L4" start="0" length="0">
    <dxf>
      <font>
        <name val="Times New Roman"/>
        <scheme val="none"/>
      </font>
      <alignment horizontal="right" wrapText="0" readingOrder="0"/>
    </dxf>
  </rfmt>
  <rfmt sheetId="1" sqref="M4" start="0" length="0">
    <dxf>
      <font>
        <name val="Times New Roman"/>
        <scheme val="none"/>
      </font>
      <alignment horizontal="right" wrapText="0" readingOrder="0"/>
    </dxf>
  </rfmt>
  <rfmt sheetId="1" sqref="N4" start="0" length="0">
    <dxf>
      <font>
        <name val="Times New Roman"/>
        <scheme val="none"/>
      </font>
      <alignment horizontal="right" wrapText="0" readingOrder="0"/>
    </dxf>
  </rfmt>
  <rfmt sheetId="1" sqref="O4" start="0" length="0">
    <dxf>
      <font>
        <name val="Times New Roman"/>
        <scheme val="none"/>
      </font>
      <alignment horizontal="right" wrapText="0" readingOrder="0"/>
    </dxf>
  </rfmt>
  <rfmt sheetId="1" sqref="P4" start="0" length="0">
    <dxf>
      <font>
        <name val="Times New Roman"/>
        <scheme val="none"/>
      </font>
      <alignment horizontal="right" wrapText="0" readingOrder="0"/>
    </dxf>
  </rfmt>
  <rfmt sheetId="1" sqref="Q4" start="0" length="0">
    <dxf>
      <font>
        <name val="Times New Roman"/>
        <scheme val="none"/>
      </font>
      <alignment horizontal="right" wrapText="0" readingOrder="0"/>
    </dxf>
  </rfmt>
  <rcc rId="4920" sId="1">
    <nc r="F1" t="inlineStr">
      <is>
        <t xml:space="preserve">Приложение № 3       </t>
      </is>
    </nc>
  </rcc>
  <rcv guid="{46268BFF-7767-41AD-8DD2-9220C9E060B5}" action="delete"/>
  <rdn rId="0" localSheetId="1" customView="1" name="Z_46268BFF_7767_41AD_8DD2_9220C9E060B5_.wvu.PrintArea" hidden="1" oldHidden="1">
    <formula>функцион.структура!$A$1:$F$523</formula>
    <oldFormula>функцион.структура!$A$5:$F$523</oldFormula>
  </rdn>
  <rdn rId="0" localSheetId="1" customView="1" name="Z_46268BFF_7767_41AD_8DD2_9220C9E060B5_.wvu.FilterData" hidden="1" oldHidden="1">
    <formula>функцион.структура!$A$17:$F$530</formula>
    <oldFormula>функцион.структура!$A$17:$F$530</oldFormula>
  </rdn>
  <rcv guid="{46268BFF-7767-41AD-8DD2-9220C9E060B5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rc rId="4051" sId="1" ref="A1:XFD1" action="deleteRow">
    <undo index="0" exp="area" ref3D="1" dr="$A$1:$F$466" dn="Область_печати" sId="1"/>
    <undo index="0" exp="area" ref3D="1" dr="$A$1:$F$466" dn="Z_629918FE_B1DF_464A_BF50_03D18729BC02_.wvu.PrintArea" sId="1"/>
    <undo index="0" exp="area" ref3D="1" dr="$A$1:$F$466" dn="Z_46268BFF_7767_41AD_8DD2_9220C9E060B5_.wvu.PrintArea" sId="1"/>
    <undo index="0" exp="area" ref3D="1" dr="$A$1:$F$466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Приложение №4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N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rc rId="4052" sId="1" ref="A1:XFD1" action="deleteRow">
    <undo index="0" exp="area" ref3D="1" dr="$A$1:$F$465" dn="Область_печати" sId="1"/>
    <undo index="0" exp="area" ref3D="1" dr="$A$1:$F$465" dn="Z_629918FE_B1DF_464A_BF50_03D18729BC02_.wvu.PrintArea" sId="1"/>
    <undo index="0" exp="area" ref3D="1" dr="$A$1:$F$465" dn="Z_46268BFF_7767_41AD_8DD2_9220C9E060B5_.wvu.PrintArea" sId="1"/>
    <undo index="0" exp="area" ref3D="1" dr="$A$1:$F$465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N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rc rId="4053" sId="1" ref="A1:XFD1" action="deleteRow">
    <undo index="0" exp="area" ref3D="1" dr="$A$1:$F$464" dn="Область_печати" sId="1"/>
    <undo index="0" exp="area" ref3D="1" dr="$A$1:$F$464" dn="Z_629918FE_B1DF_464A_BF50_03D18729BC02_.wvu.PrintArea" sId="1"/>
    <undo index="0" exp="area" ref3D="1" dr="$A$1:$F$464" dn="Z_46268BFF_7767_41AD_8DD2_9220C9E060B5_.wvu.PrintArea" sId="1"/>
    <undo index="0" exp="area" ref3D="1" dr="$A$1:$F$464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cc rId="4054" sId="1" odxf="1">
    <oc r="F6" t="inlineStr">
      <is>
        <t>«Селенгинский район» на 2022 год"</t>
      </is>
    </oc>
    <nc r="F6" t="inlineStr">
      <is>
        <t>«Селенгинский район» на 2023 год"</t>
      </is>
    </nc>
    <odxf/>
  </rcc>
  <rcc rId="4055" sId="1">
    <oc r="E7" t="inlineStr">
      <is>
        <t>плановый период 2023-2024 годов"</t>
      </is>
    </oc>
    <nc r="E7" t="inlineStr">
      <is>
        <t>плановый период 2024-2025 годов"</t>
      </is>
    </nc>
  </rcc>
  <rcc rId="4056" sId="1" odxf="1">
    <oc r="F8" t="inlineStr">
      <is>
        <t>от "23" декабря 2021 № 164</t>
      </is>
    </oc>
    <nc r="F8" t="inlineStr">
      <is>
        <t>от "___" декабря 2022 № ___</t>
      </is>
    </nc>
    <odxf/>
  </rcc>
</revisions>
</file>

<file path=xl/revisions/revisionLog1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61" sId="1">
    <oc r="E517" t="inlineStr">
      <is>
        <t>244</t>
      </is>
    </oc>
    <nc r="E517" t="inlineStr">
      <is>
        <t>414</t>
      </is>
    </nc>
  </rcc>
  <rcc rId="1762" sId="1" numFmtId="4">
    <oc r="F517">
      <v>0</v>
    </oc>
    <nc r="F517">
      <v>609</v>
    </nc>
  </rcc>
  <rcc rId="1763" sId="1" odxf="1" dxf="1">
    <oc r="A517" t="inlineStr">
      <is>
        <t>Прочие закупки товаров, работ и услуг для государственных (муниципальных) нужд</t>
      </is>
    </oc>
    <nc r="A51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2297" sId="1">
    <oc r="F1" t="inlineStr">
      <is>
        <t>Приложение №4</t>
      </is>
    </oc>
    <nc r="F1" t="inlineStr">
      <is>
        <t>Приложение №3</t>
      </is>
    </nc>
  </rcc>
  <rcc rId="2298" sId="1">
    <oc r="F3" t="inlineStr">
      <is>
        <t>от "27" апреля 2022  № 184</t>
      </is>
    </oc>
    <nc r="F3" t="inlineStr">
      <is>
        <t>от "__" июля 2022  № ____</t>
      </is>
    </nc>
  </rcc>
</revisions>
</file>

<file path=xl/revisions/revisionLog1110.xml><?xml version="1.0" encoding="utf-8"?>
<revisions xmlns="http://schemas.openxmlformats.org/spreadsheetml/2006/main" xmlns:r="http://schemas.openxmlformats.org/officeDocument/2006/relationships">
  <rcc rId="1105" sId="1">
    <oc r="F8" t="inlineStr">
      <is>
        <t>от "___" декабря 2021 №___</t>
      </is>
    </oc>
    <nc r="F8" t="inlineStr">
      <is>
        <t>от "23" декабря 2021 № 164</t>
      </is>
    </nc>
  </rcc>
  <rdn rId="0" localSheetId="1" customView="1" name="Z_2DDB525D_A756_4AF2_961D_1A48B45E104D_.wvu.PrintArea" hidden="1" oldHidden="1">
    <formula>функцион.структура!$A$1:$F$530</formula>
  </rdn>
  <rdn rId="0" localSheetId="1" customView="1" name="Z_2DDB525D_A756_4AF2_961D_1A48B45E104D_.wvu.FilterData" hidden="1" oldHidden="1">
    <formula>функцион.структура!$A$17:$K$537</formula>
  </rdn>
  <rcv guid="{2DDB525D-A756-4AF2-961D-1A48B45E104D}" action="add"/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numFmtId="4">
    <oc r="F470">
      <f>F471</f>
    </oc>
    <nc r="F470">
      <v>7090.2</v>
    </nc>
  </rcc>
  <rfmt sheetId="1" sqref="F470">
    <dxf>
      <fill>
        <patternFill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функцион.структура!$A$2:$F$501</formula>
    <oldFormula>функцион.структура!$A$2:$F$501</oldFormula>
  </rdn>
  <rdn rId="0" localSheetId="1" customView="1" name="Z_629918FE_B1DF_464A_BF50_03D18729BC02_.wvu.FilterData" hidden="1" oldHidden="1">
    <formula>функцион.структура!$A$17:$K$508</formula>
    <oldFormula>функцион.структура!$A$17:$K$508</oldFormula>
  </rdn>
  <rcv guid="{629918FE-B1DF-464A-BF50-03D18729BC02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5382" sId="1" odxf="1">
    <oc r="F3" t="inlineStr">
      <is>
        <t>от 12 января 2023  № 233</t>
      </is>
    </oc>
    <nc r="F3" t="inlineStr">
      <is>
        <t>от 26 января 2023  № 236</t>
      </is>
    </nc>
    <odxf/>
  </rcc>
</revisions>
</file>

<file path=xl/revisions/revisionLog1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64" sId="1" ref="A546:XFD547" action="insertRow"/>
  <rcc rId="1765" sId="1" numFmtId="4">
    <oc r="F547">
      <f>104291.0656+8.52664+80.48681+1.20795+2096.27911</f>
    </oc>
    <nc r="F547">
      <v>106350</v>
    </nc>
  </rcc>
  <rcc rId="1766" sId="1">
    <oc r="F536">
      <f>F537+F540</f>
    </oc>
    <nc r="F536">
      <f>F537+F540+F546</f>
    </nc>
  </rcc>
  <rcc rId="1767" sId="1">
    <oc r="F535">
      <f>F537+F540</f>
    </oc>
    <nc r="F535">
      <f>F536</f>
    </nc>
  </rcc>
  <rcc rId="1768" sId="1" numFmtId="4">
    <nc r="F584">
      <v>119115.30205</v>
    </nc>
  </rcc>
  <rrc rId="1769" sId="1" eol="1" ref="A587:XFD587" action="insertRow"/>
  <rcc rId="1770" sId="1" odxf="1" dxf="1">
    <nc r="F587">
      <f>F582-F584</f>
    </nc>
    <odxf>
      <numFmt numFmtId="0" formatCode="General"/>
    </odxf>
    <ndxf>
      <numFmt numFmtId="165" formatCode="0.00000"/>
    </ndxf>
  </rcc>
  <rcc rId="1771" sId="1" numFmtId="4">
    <oc r="F523">
      <v>15905.013440000001</v>
    </oc>
    <nc r="F523">
      <f>15905.01344+262.963</f>
    </nc>
  </rcc>
  <rcc rId="1772" sId="1" odxf="1" dxf="1">
    <nc r="E582">
      <f>F579-E580</f>
    </nc>
    <odxf>
      <numFmt numFmtId="0" formatCode="General"/>
    </odxf>
    <ndxf>
      <numFmt numFmtId="166" formatCode="#,##0.00000"/>
    </ndxf>
  </rcc>
  <rcc rId="1773" sId="1" odxf="1" dxf="1" numFmtId="4">
    <nc r="E579">
      <v>118987.90205</v>
    </nc>
    <ndxf>
      <numFmt numFmtId="166" formatCode="#,##0.00000"/>
    </ndxf>
  </rcc>
  <rcc rId="1774" sId="1">
    <nc r="E580">
      <f>F577-E579</f>
    </nc>
  </rcc>
</revisions>
</file>

<file path=xl/revisions/revisionLog1122.xml><?xml version="1.0" encoding="utf-8"?>
<revisions xmlns="http://schemas.openxmlformats.org/spreadsheetml/2006/main" xmlns:r="http://schemas.openxmlformats.org/officeDocument/2006/relationships">
  <rcc rId="4927" sId="1" odxf="1">
    <oc r="F3" t="inlineStr">
      <is>
        <t>от ________ 2023  № ____</t>
      </is>
    </oc>
    <nc r="F3" t="inlineStr">
      <is>
        <t>от 12 января 2023  № 233</t>
      </is>
    </nc>
    <odxf/>
  </rcc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функцион.структура!$A$1:$F$523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5381" sId="1" odxf="1">
    <oc r="F3" t="inlineStr">
      <is>
        <t>от 23 января 2023  № 236</t>
      </is>
    </oc>
    <nc r="F3" t="inlineStr">
      <is>
        <t>от 12 января 2023  № 233</t>
      </is>
    </nc>
    <odxf/>
  </rcc>
</revisions>
</file>

<file path=xl/revisions/revisionLog1131.xml><?xml version="1.0" encoding="utf-8"?>
<revisions xmlns="http://schemas.openxmlformats.org/spreadsheetml/2006/main" xmlns:r="http://schemas.openxmlformats.org/officeDocument/2006/relationships">
  <rcc rId="603" sId="1">
    <oc r="F2" t="inlineStr">
      <is>
        <t>Приложение № 8</t>
      </is>
    </oc>
    <nc r="F2" t="inlineStr">
      <is>
        <t>Приложение № 5</t>
      </is>
    </nc>
  </rcc>
  <rcc rId="604" sId="1">
    <oc r="F6" t="inlineStr">
      <is>
        <t>«Селенгинский район» на 2021 год"</t>
      </is>
    </oc>
    <nc r="F6" t="inlineStr">
      <is>
        <t>«Селенгинский район» на 2022 год"</t>
      </is>
    </nc>
  </rcc>
  <rcc rId="605" sId="1">
    <oc r="E7" t="inlineStr">
      <is>
        <t>плановый период 2021-2022 годов"</t>
      </is>
    </oc>
    <nc r="E7" t="inlineStr">
      <is>
        <t>плановый период 2023-2024 годов"</t>
      </is>
    </nc>
  </rcc>
  <rcc rId="606" sId="1">
    <oc r="F8" t="inlineStr">
      <is>
        <t>от "25" декабря 2020 №105</t>
      </is>
    </oc>
    <nc r="F8" t="inlineStr">
      <is>
        <t>от "___" декабря 2021 №___</t>
      </is>
    </nc>
  </rcc>
  <rcc rId="607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2021 год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 год</t>
      </is>
    </nc>
  </rcc>
  <rfmt sheetId="1" sqref="F287:F289">
    <dxf>
      <fill>
        <patternFill>
          <bgColor theme="0"/>
        </patternFill>
      </fill>
    </dxf>
  </rfmt>
  <rfmt sheetId="1" sqref="F302">
    <dxf>
      <fill>
        <patternFill>
          <bgColor theme="0"/>
        </patternFill>
      </fill>
    </dxf>
  </rfmt>
  <rfmt sheetId="1" sqref="F314:F318">
    <dxf>
      <fill>
        <patternFill>
          <bgColor theme="0"/>
        </patternFill>
      </fill>
    </dxf>
  </rfmt>
  <rfmt sheetId="1" sqref="F366:F370">
    <dxf>
      <fill>
        <patternFill>
          <bgColor theme="0"/>
        </patternFill>
      </fill>
    </dxf>
  </rfmt>
  <rfmt sheetId="1" sqref="F374:F376">
    <dxf>
      <fill>
        <patternFill>
          <bgColor theme="0"/>
        </patternFill>
      </fill>
    </dxf>
  </rfmt>
  <rfmt sheetId="1" sqref="F383:F391">
    <dxf>
      <fill>
        <patternFill>
          <bgColor theme="0"/>
        </patternFill>
      </fill>
    </dxf>
  </rfmt>
  <rfmt sheetId="1" sqref="F397:F403">
    <dxf>
      <fill>
        <patternFill>
          <bgColor theme="0"/>
        </patternFill>
      </fill>
    </dxf>
  </rfmt>
  <rfmt sheetId="1" sqref="F406">
    <dxf>
      <fill>
        <patternFill>
          <bgColor theme="0"/>
        </patternFill>
      </fill>
    </dxf>
  </rfmt>
  <rfmt sheetId="1" sqref="F410">
    <dxf>
      <fill>
        <patternFill>
          <bgColor theme="0"/>
        </patternFill>
      </fill>
    </dxf>
  </rfmt>
  <rfmt sheetId="1" sqref="F433">
    <dxf>
      <fill>
        <patternFill>
          <bgColor theme="0"/>
        </patternFill>
      </fill>
    </dxf>
  </rfmt>
  <rfmt sheetId="1" sqref="F455:F460">
    <dxf>
      <fill>
        <patternFill>
          <bgColor theme="0"/>
        </patternFill>
      </fill>
    </dxf>
  </rfmt>
  <rfmt sheetId="1" sqref="F469:F471">
    <dxf>
      <fill>
        <patternFill>
          <bgColor theme="0"/>
        </patternFill>
      </fill>
    </dxf>
  </rfmt>
  <rfmt sheetId="1" sqref="F477:F483">
    <dxf>
      <fill>
        <patternFill>
          <bgColor theme="0"/>
        </patternFill>
      </fill>
    </dxf>
  </rfmt>
  <rfmt sheetId="1" sqref="I501" start="0" length="0">
    <dxf>
      <numFmt numFmtId="164" formatCode="0.00000"/>
    </dxf>
  </rfmt>
  <rcc rId="608" sId="1" numFmtId="4">
    <oc r="G500">
      <v>18800</v>
    </oc>
    <nc r="G500"/>
  </rcc>
  <rcc rId="609" sId="1">
    <oc r="G501">
      <v>1142781.8700000001</v>
    </oc>
    <nc r="G501"/>
  </rcc>
  <rcc rId="610" sId="1">
    <oc r="H501">
      <f>G501-F501</f>
    </oc>
    <nc r="H501"/>
  </rcc>
  <rcc rId="611" sId="1">
    <oc r="G502">
      <f>G501-G500</f>
    </oc>
    <nc r="G502"/>
  </rcc>
  <rcc rId="612" sId="1">
    <oc r="H502">
      <f>G502-F501</f>
    </oc>
    <nc r="H502"/>
  </rcc>
  <rcc rId="613" sId="1">
    <oc r="H503" t="inlineStr">
      <is>
        <t>культ</t>
      </is>
    </oc>
    <nc r="H503"/>
  </rcc>
  <rcc rId="614" sId="1">
    <oc r="I503" t="inlineStr">
      <is>
        <t>спорт</t>
      </is>
    </oc>
    <nc r="I503"/>
  </rcc>
  <rcc rId="615" sId="1">
    <oc r="J503" t="inlineStr">
      <is>
        <t>руо</t>
      </is>
    </oc>
    <nc r="J503"/>
  </rcc>
  <rcc rId="616" sId="1">
    <oc r="G504" t="inlineStr">
      <is>
        <t>рб</t>
      </is>
    </oc>
    <nc r="G504"/>
  </rcc>
  <rcc rId="617" sId="1">
    <oc r="H504">
      <f>10048.2+369.1+19339.6+109.6+1877.9</f>
    </oc>
    <nc r="H504"/>
  </rcc>
  <rcc rId="618" sId="1">
    <oc r="I504">
      <f>1814.7+6657.5+707.8+184.7</f>
    </oc>
    <nc r="I504"/>
  </rcc>
  <rcc rId="619" sId="1">
    <oc r="J504">
      <f>F426+F340+F335+F323+F326+F328+F308+F296+F278-1011.7+F273+F271+F269+F267+F262+F260+F258+F256+F254+F248+F243</f>
    </oc>
    <nc r="J504"/>
  </rcc>
  <rcc rId="620" sId="1">
    <oc r="G505" t="inlineStr">
      <is>
        <t>мб</t>
      </is>
    </oc>
    <nc r="G505"/>
  </rcc>
  <rcc rId="621" sId="1">
    <oc r="H505">
      <f>35634+105.3+151</f>
    </oc>
    <nc r="H505"/>
  </rcc>
  <rcc rId="622" sId="1">
    <oc r="I505">
      <v>31773.7</v>
    </oc>
    <nc r="I505"/>
  </rcc>
  <rcc rId="623" sId="1">
    <oc r="J505">
      <f>F359+F356+F345+F342+F293+1011.7+F264+F265+F245+F246</f>
    </oc>
    <nc r="J505"/>
  </rcc>
  <rcc rId="624" sId="1">
    <oc r="H506">
      <f>SUM(H504:H505)</f>
    </oc>
    <nc r="H506"/>
  </rcc>
  <rcc rId="625" sId="1">
    <oc r="I506">
      <f>SUM(I504:I505)</f>
    </oc>
    <nc r="I506"/>
  </rcc>
  <rcc rId="626" sId="1">
    <oc r="J506">
      <f>SUM(J504:J505)</f>
    </oc>
    <nc r="J506"/>
  </rcc>
  <rcc rId="627" sId="1">
    <oc r="H507">
      <f>#REF!</f>
    </oc>
    <nc r="H507"/>
  </rcc>
  <rcc rId="628" sId="1">
    <oc r="H508">
      <f>H507-H506</f>
    </oc>
    <nc r="H508"/>
  </rcc>
  <rcc rId="629" sId="1">
    <oc r="I508">
      <f>I506-I507</f>
    </oc>
    <nc r="I508"/>
  </rcc>
  <rcc rId="630" sId="1">
    <oc r="J508">
      <f>J507-J506</f>
    </oc>
    <nc r="J508"/>
  </rcc>
  <rcc rId="631" sId="1">
    <oc r="F503">
      <f>157878.01+1224834.698</f>
    </oc>
    <nc r="F503"/>
  </rcc>
  <rcc rId="632" sId="1">
    <oc r="E504">
      <f>1500764.508-576.6</f>
    </oc>
    <nc r="E504"/>
  </rcc>
  <rcc rId="633" sId="1">
    <oc r="E505">
      <f>E504-F501</f>
    </oc>
    <nc r="E505"/>
  </rcc>
  <rcc rId="634" sId="1">
    <oc r="F505">
      <f>F503-F506</f>
    </oc>
    <nc r="F505"/>
  </rcc>
  <rcc rId="635" sId="1">
    <oc r="E506">
      <v>28000</v>
    </oc>
    <nc r="E506"/>
  </rcc>
  <rcc rId="636" sId="1" numFmtId="4">
    <oc r="F506">
      <v>28000</v>
    </oc>
    <nc r="F506"/>
  </rcc>
  <rcc rId="637" sId="1">
    <oc r="E507">
      <f>E505-E506</f>
    </oc>
    <nc r="E507"/>
  </rcc>
  <rcc rId="638" sId="1">
    <oc r="F507">
      <f>F501-F505</f>
    </oc>
    <nc r="F507"/>
  </rcc>
  <rcc rId="639" sId="1">
    <oc r="D507">
      <f>F501-D505</f>
    </oc>
    <nc r="D507"/>
  </rcc>
  <rcc rId="640" sId="1">
    <oc r="D505">
      <f>E504-E506</f>
    </oc>
    <nc r="D505"/>
  </rcc>
  <rcc rId="641" sId="1">
    <oc r="G459">
      <v>573.16999999999996</v>
    </oc>
    <nc r="G459"/>
  </rcc>
  <rcc rId="642" sId="1">
    <oc r="H459">
      <v>2919.13</v>
    </oc>
    <nc r="H459"/>
  </rcc>
  <rcc rId="643" sId="1">
    <oc r="G460">
      <v>173.13</v>
    </oc>
    <nc r="G460"/>
  </rcc>
  <rcc rId="644" sId="1">
    <oc r="H460">
      <v>881.58</v>
    </oc>
    <nc r="H460"/>
  </rcc>
  <rcc rId="645" sId="1">
    <oc r="G461">
      <v>450</v>
    </oc>
    <nc r="G461"/>
  </rcc>
  <rcc rId="646" sId="1">
    <oc r="H461">
      <v>300</v>
    </oc>
    <nc r="H461"/>
  </rcc>
  <rcc rId="647" sId="1">
    <oc r="I461">
      <v>150</v>
    </oc>
    <nc r="I461"/>
  </rcc>
  <rcc rId="648" sId="1">
    <oc r="G433">
      <v>453.1</v>
    </oc>
    <nc r="G433"/>
  </rcc>
  <rcc rId="649" sId="1">
    <oc r="G426">
      <v>602.20000000000005</v>
    </oc>
    <nc r="G426"/>
  </rcc>
  <rcc rId="650" sId="1">
    <oc r="G400" t="inlineStr">
      <is>
        <t>МБ</t>
      </is>
    </oc>
    <nc r="G400"/>
  </rcc>
  <rcc rId="651" sId="1">
    <oc r="H400" t="inlineStr">
      <is>
        <t>РБ</t>
      </is>
    </oc>
    <nc r="H400"/>
  </rcc>
  <rcc rId="652" sId="1">
    <oc r="G401">
      <f>F289+F302+F318+F370+F376+F383+F397+F398+F400+F401+F402+F403+F410+F469+F477+F478+F480+F481+F482+F483+F455</f>
    </oc>
    <nc r="G401"/>
  </rcc>
  <rcc rId="653" sId="1">
    <oc r="H401">
      <f>F287+F314+F366+F374+F391+G426+F433+F459+F460+F471+F406</f>
    </oc>
    <nc r="H401"/>
  </rcc>
  <rcc rId="654" sId="1">
    <oc r="G370">
      <f>F285+F314+F365+F373+F385+F390+G426+F431+F458+F470</f>
    </oc>
    <nc r="G370"/>
  </rcc>
  <rcc rId="655" sId="1">
    <oc r="G263">
      <f>F243+F248+F254+F256+F258+F260+F262+F267+F269+F271+F273+F276+F278+F296+F307+F328+F325+F322+F334+F339+F426</f>
    </oc>
    <nc r="G263"/>
  </rcc>
  <rcc rId="656" sId="1">
    <oc r="I92" t="inlineStr">
      <is>
        <t>Межбюджетные трансферты на муниципальный земельный контроль, управление и распоряжение, использование, изъятие земель сельхоз назначения, выдача разрешений на строительство</t>
      </is>
    </oc>
    <nc r="I92"/>
  </rcc>
  <rcc rId="657" sId="1">
    <oc r="H78">
      <f>F73+F83+F100+F104+F108+F112</f>
    </oc>
    <nc r="H78"/>
  </rcc>
  <rcc rId="658" sId="1">
    <oc r="J22">
      <f>F18+F147+F153+F214+F279+F412+F418+F423+F435+F485+F492</f>
    </oc>
    <nc r="J22"/>
  </rcc>
  <rcc rId="659" sId="1">
    <oc r="H25">
      <f>#REF!+#REF!+#REF!+#REF!+#REF!</f>
    </oc>
    <nc r="H25"/>
  </rcc>
  <rcc rId="660" sId="1">
    <oc r="H26">
      <v>471194.4</v>
    </oc>
    <nc r="H26"/>
  </rcc>
  <rcc rId="661" sId="1">
    <oc r="H27">
      <f>H25-H26</f>
    </oc>
    <nc r="H27"/>
  </rcc>
  <rcc rId="662" sId="1">
    <oc r="H28">
      <f>F27+F113+#REF!+F65</f>
    </oc>
    <nc r="H28"/>
  </rcc>
  <rcc rId="663" sId="1">
    <oc r="H29">
      <f>H27-H28</f>
    </oc>
    <nc r="H29"/>
  </rcc>
  <rcc rId="664" sId="1">
    <oc r="H30">
      <v>54822</v>
    </oc>
    <nc r="H30"/>
  </rcc>
  <rcc rId="665" sId="1">
    <oc r="H31">
      <f>H29-H30</f>
    </oc>
    <nc r="H31"/>
  </rcc>
  <rcc rId="666" sId="1">
    <oc r="H32">
      <v>43544.5</v>
    </oc>
    <nc r="H32"/>
  </rcc>
  <rcc rId="667" sId="1">
    <oc r="H33">
      <v>3228.3</v>
    </oc>
    <nc r="H33"/>
  </rcc>
  <rcc rId="668" sId="1">
    <oc r="H34">
      <f>H31-H32-H33</f>
    </oc>
    <nc r="H34"/>
  </rcc>
</revisions>
</file>

<file path=xl/revisions/revisionLog1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75" sId="1">
    <oc r="F582">
      <f>F577-F579</f>
    </oc>
    <nc r="F582"/>
  </rcc>
  <rcc rId="1776" sId="1" numFmtId="4">
    <oc r="F584">
      <v>119115.30205</v>
    </oc>
    <nc r="F584"/>
  </rcc>
  <rcc rId="1777" sId="1">
    <oc r="F587">
      <f>F582-F584</f>
    </oc>
    <nc r="F587"/>
  </rcc>
  <rcc rId="1778" sId="1">
    <oc r="F430">
      <f>SUM(F431:F432)</f>
    </oc>
    <nc r="F430">
      <f>SUM(F431:F432)</f>
    </nc>
  </rcc>
  <rcc rId="1779" sId="1">
    <oc r="F418">
      <f>SUM(F419:F419)</f>
    </oc>
    <nc r="F418">
      <f>SUM(F419:F419)</f>
    </nc>
  </rcc>
  <rfmt sheetId="1" sqref="H409" start="0" length="0">
    <dxf>
      <numFmt numFmtId="165" formatCode="0.00000"/>
    </dxf>
  </rfmt>
  <rfmt sheetId="1" sqref="H412" start="0" length="0">
    <dxf>
      <numFmt numFmtId="165" formatCode="0.00000"/>
    </dxf>
  </rfmt>
  <rcc rId="1780" sId="1">
    <oc r="F416">
      <f>F417</f>
    </oc>
    <nc r="F416">
      <f>F417+F426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rc rId="1924" sId="1" ref="A1:XFD1" action="insertRow"/>
  <rrc rId="1925" sId="1" ref="A1:XFD2" action="insertRow"/>
  <rfmt sheetId="1" sqref="F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G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H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I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J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K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L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N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O1" start="0" length="0">
    <dxf>
      <font>
        <sz val="10"/>
        <color auto="1"/>
        <name val="Arial Cyr"/>
        <scheme val="none"/>
      </font>
      <alignment horizontal="right" wrapText="0" readingOrder="0"/>
    </dxf>
  </rfmt>
  <rcc rId="1926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sz val="10"/>
        <color auto="1"/>
        <name val="Arial Cyr"/>
        <scheme val="none"/>
      </font>
      <alignment horizontal="right" wrapText="0" readingOrder="0"/>
    </ndxf>
  </rcc>
  <rfmt sheetId="1" sqref="G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H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I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J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K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L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M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N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O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F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G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H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I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J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K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L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3" start="0" length="0">
    <dxf>
      <font>
        <sz val="10"/>
        <color auto="1"/>
        <name val="Arial Cyr"/>
        <scheme val="none"/>
      </font>
      <alignment vertical="bottom" wrapText="0" readingOrder="0"/>
    </dxf>
  </rfmt>
  <rcc rId="1927" sId="1" odxf="1" dxf="1">
    <nc r="N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sz val="10"/>
        <color auto="1"/>
        <name val="Arial Cyr"/>
        <scheme val="none"/>
      </font>
      <alignment horizontal="right" wrapText="0" readingOrder="0"/>
    </ndxf>
  </rcc>
  <rfmt sheetId="1" sqref="O3" start="0" length="0">
    <dxf>
      <font>
        <sz val="10"/>
        <color auto="1"/>
        <name val="Arial Cyr"/>
        <scheme val="none"/>
      </font>
      <alignment horizontal="right" wrapText="0" readingOrder="0"/>
    </dxf>
  </rfmt>
  <rcc rId="1928" sId="1">
    <nc r="F1" t="inlineStr">
      <is>
        <t>Приложение №4</t>
      </is>
    </nc>
  </rcc>
  <rm rId="1929" sheetId="1" source="N3" destination="F3" sourceSheetId="1"/>
  <rfmt sheetId="1" sqref="F1:F3" start="0" length="2147483647">
    <dxf>
      <font>
        <name val="Times New Roman"/>
        <scheme val="none"/>
      </font>
    </dxf>
  </rfmt>
  <rfmt sheetId="1" sqref="F1:F3" start="0" length="2147483647">
    <dxf>
      <font/>
    </dxf>
  </rfmt>
  <rcv guid="{46268BFF-7767-41AD-8DD2-9220C9E060B5}" action="delete"/>
  <rdn rId="0" localSheetId="1" customView="1" name="Z_46268BFF_7767_41AD_8DD2_9220C9E060B5_.wvu.PrintArea" hidden="1" oldHidden="1">
    <formula>функцион.структура!$A$1:$F$583</formula>
    <oldFormula>функцион.структура!$A$5:$F$583</oldFormula>
  </rdn>
  <rdn rId="0" localSheetId="1" customView="1" name="Z_46268BFF_7767_41AD_8DD2_9220C9E060B5_.wvu.FilterData" hidden="1" oldHidden="1">
    <formula>функцион.структура!$A$20:$F$590</formula>
    <oldFormula>функцион.структура!$A$20:$F$583</oldFormula>
  </rdn>
  <rcv guid="{46268BFF-7767-41AD-8DD2-9220C9E060B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1" sId="1">
    <oc r="F448">
      <f>SUM(F449:F450)</f>
    </oc>
    <nc r="F448">
      <f>SUM(F449:F450)</f>
    </nc>
  </rcc>
  <rcc rId="1782" sId="1">
    <oc r="F451">
      <f>SUM(F452:F456)</f>
    </oc>
    <nc r="F451">
      <f>SUM(F452:F456)</f>
    </nc>
  </rcc>
  <rcc rId="1783" sId="1" numFmtId="4">
    <oc r="F458">
      <v>3256.6</v>
    </oc>
    <nc r="F458">
      <v>0</v>
    </nc>
  </rcc>
  <rrc rId="1784" sId="1" ref="A457:XFD457" action="deleteRow">
    <undo index="65535" exp="ref" v="1" dr="F457" r="F446" sId="1"/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084А1 55130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7">
        <f>F458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8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084А1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786" sId="1">
    <oc r="F446">
      <f>F448+F451+#REF!</f>
    </oc>
    <nc r="F446">
      <f>F448+F451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7" sId="1" numFmtId="4">
    <oc r="F567">
      <v>20000</v>
    </oc>
    <nc r="F567">
      <f>20000+1004.3</f>
    </nc>
  </rcc>
  <rcc rId="1788" sId="1" numFmtId="4">
    <oc r="F298">
      <v>60027.042110000002</v>
    </oc>
    <nc r="F298">
      <f>60027.04211-1004.3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9" sId="1" xfDxf="1" dxf="1">
    <nc r="A315" t="inlineStr">
      <is>
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01" start="0" length="0">
    <dxf>
      <font>
        <color indexed="8"/>
        <name val="Times New Roman"/>
        <family val="1"/>
      </font>
      <fill>
        <patternFill patternType="solid"/>
      </fill>
      <alignment horizontal="left"/>
    </dxf>
  </rfmt>
  <rcc rId="1792" sId="1" xfDxf="1" dxf="1">
    <nc r="A268" t="inlineStr">
      <is>
        <t>Реализация мероприятий планов социального развития центров экономического роста субъектов Российской Федерации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793" sId="1" odxf="1" dxf="1">
    <nc r="A270" t="inlineStr">
      <is>
        <t>Субсидии автономным учреждениям на иные цели</t>
      </is>
    </nc>
    <odxf/>
    <ndxf/>
  </rcc>
  <rcc rId="1794" sId="1" odxf="1" dxf="1">
    <nc r="A273" t="inlineStr">
      <is>
        <t>Субсидии автономным учреждениям на иные цели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5" sId="1" xfDxf="1" dxf="1">
    <nc r="A271" t="inlineStr">
      <is>
        <t>Реализация мероприятий планов социального развития центров экономического роста субъектов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98" sId="1" xfDxf="1" dxf="1">
    <nc r="A311" t="inlineStr">
      <is>
        <t>Реализация мероприятий по модернизации школьных систем образования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1" sId="1" numFmtId="4">
    <oc r="F157">
      <v>4961.4161999999997</v>
    </oc>
    <nc r="F157">
      <f>4961.4162+63.7+63.7</f>
    </nc>
  </rcc>
  <rcc rId="1802" sId="1" numFmtId="4">
    <oc r="E577">
      <v>118987.90205</v>
    </oc>
    <nc r="E577">
      <f>118987.90205+127.4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функцион.структура!$A$1:$F$523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3" sId="1">
    <oc r="F298">
      <f>60027.04211-1004.3</f>
    </oc>
    <nc r="F298">
      <f>60027.04211-1004.3-100</f>
    </nc>
  </rcc>
  <rcc rId="1804" sId="1">
    <oc r="F157">
      <f>4961.4162+63.7+63.7</f>
    </oc>
    <nc r="F157">
      <f>4961.4162+63.7+63.7+100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функцион.структура!$A$1:$F$523</formula>
    <oldFormula>функцион.структура!$A$1:$F$523</oldFormula>
  </rdn>
  <rdn rId="0" localSheetId="1" customView="1" name="Z_46268BFF_7767_41AD_8DD2_9220C9E060B5_.wvu.FilterData" hidden="1" oldHidden="1">
    <formula>функцион.структура!$A$17:$F$530</formula>
    <oldFormula>функцион.структура!$A$17:$F$530</oldFormula>
  </rdn>
  <rcv guid="{46268BFF-7767-41AD-8DD2-9220C9E060B5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2961" sId="1" odxf="1">
    <oc r="F1" t="inlineStr">
      <is>
        <t>Приложение №3</t>
      </is>
    </oc>
    <nc r="F1" t="inlineStr">
      <is>
        <t>Приложение №4</t>
      </is>
    </nc>
    <odxf/>
  </rcc>
  <rcc rId="2962" sId="1" odxf="1">
    <oc r="F3" t="inlineStr">
      <is>
        <t>от "22" июля 2022  №202</t>
      </is>
    </oc>
    <nc r="F3" t="inlineStr">
      <is>
        <t>от "__" ____ 2022  №___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5" sId="1" numFmtId="4">
    <oc r="F49">
      <v>1972.8221699999999</v>
    </oc>
    <nc r="F49">
      <v>1934.64662</v>
    </nc>
  </rcc>
  <rcc rId="1806" sId="1" numFmtId="4">
    <oc r="F51">
      <v>226.31423000000001</v>
    </oc>
    <nc r="F51">
      <v>253.80538999999999</v>
    </nc>
  </rcc>
  <rcc rId="1807" sId="1" numFmtId="4">
    <oc r="F52">
      <v>101.15514</v>
    </oc>
    <nc r="F52">
      <v>111.83953</v>
    </nc>
  </rcc>
  <rcc rId="1808" sId="1" numFmtId="4">
    <oc r="F83">
      <v>317</v>
    </oc>
    <nc r="F83">
      <v>277</v>
    </nc>
  </rcc>
  <rcc rId="1809" sId="1">
    <oc r="G98">
      <v>84.686499999999995</v>
    </oc>
    <nc r="G98"/>
  </rcc>
  <rcc rId="1810" sId="1" numFmtId="4">
    <oc r="F163">
      <v>83</v>
    </oc>
    <nc r="F163">
      <v>123</v>
    </nc>
  </rcc>
  <rrc rId="1811" sId="1" ref="A217:XFD220" action="insertRow"/>
  <rm rId="1812" sheetId="1" source="A95:XFD98" destination="A217:XFD220" sourceSheetId="1">
    <rfmt sheetId="1" xfDxf="1" sqref="A217:XFD217" start="0" length="0">
      <dxf>
        <font>
          <name val="Times New Roman CYR"/>
          <family val="1"/>
        </font>
        <alignment wrapText="1"/>
      </dxf>
    </rfmt>
    <rfmt sheetId="1" xfDxf="1" sqref="A218:XFD218" start="0" length="0">
      <dxf>
        <font>
          <name val="Times New Roman CYR"/>
          <family val="1"/>
        </font>
        <alignment wrapText="1"/>
      </dxf>
    </rfmt>
    <rfmt sheetId="1" xfDxf="1" sqref="A219:XFD219" start="0" length="0">
      <dxf>
        <font>
          <name val="Times New Roman CYR"/>
          <family val="1"/>
        </font>
        <alignment wrapText="1"/>
      </dxf>
    </rfmt>
    <rfmt sheetId="1" xfDxf="1" sqref="A220:XFD220" start="0" length="0">
      <dxf>
        <font>
          <name val="Times New Roman CYR"/>
          <family val="1"/>
        </font>
        <alignment wrapText="1"/>
      </dxf>
    </rfmt>
    <rfmt sheetId="1" sqref="A21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813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4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5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6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cc rId="1817" sId="1">
    <oc r="B213" t="inlineStr">
      <is>
        <t>01</t>
      </is>
    </oc>
    <nc r="B213" t="inlineStr">
      <is>
        <t>04</t>
      </is>
    </nc>
  </rcc>
  <rcc rId="1818" sId="1">
    <oc r="C213" t="inlineStr">
      <is>
        <t>13</t>
      </is>
    </oc>
    <nc r="C213" t="inlineStr">
      <is>
        <t>12</t>
      </is>
    </nc>
  </rcc>
  <rcc rId="1819" sId="1">
    <oc r="B214" t="inlineStr">
      <is>
        <t>01</t>
      </is>
    </oc>
    <nc r="B214" t="inlineStr">
      <is>
        <t>04</t>
      </is>
    </nc>
  </rcc>
  <rcc rId="1820" sId="1">
    <oc r="C214" t="inlineStr">
      <is>
        <t>13</t>
      </is>
    </oc>
    <nc r="C214" t="inlineStr">
      <is>
        <t>12</t>
      </is>
    </nc>
  </rcc>
  <rcc rId="1821" sId="1">
    <oc r="B215" t="inlineStr">
      <is>
        <t>01</t>
      </is>
    </oc>
    <nc r="B215" t="inlineStr">
      <is>
        <t>04</t>
      </is>
    </nc>
  </rcc>
  <rcc rId="1822" sId="1">
    <oc r="C215" t="inlineStr">
      <is>
        <t>13</t>
      </is>
    </oc>
    <nc r="C215" t="inlineStr">
      <is>
        <t>12</t>
      </is>
    </nc>
  </rcc>
  <rcc rId="1823" sId="1">
    <oc r="B216" t="inlineStr">
      <is>
        <t>01</t>
      </is>
    </oc>
    <nc r="B216" t="inlineStr">
      <is>
        <t>04</t>
      </is>
    </nc>
  </rcc>
  <rcc rId="1824" sId="1">
    <oc r="C216" t="inlineStr">
      <is>
        <t>13</t>
      </is>
    </oc>
    <nc r="C216" t="inlineStr">
      <is>
        <t>12</t>
      </is>
    </nc>
  </rcc>
  <rcc rId="1825" sId="1">
    <oc r="D216" t="inlineStr">
      <is>
        <t>03001 82900</t>
      </is>
    </oc>
    <nc r="D216" t="inlineStr">
      <is>
        <t>03002 S2610</t>
      </is>
    </nc>
  </rcc>
  <rcc rId="1826" sId="1">
    <oc r="E216" t="inlineStr">
      <is>
        <t>244</t>
      </is>
    </oc>
    <nc r="E216" t="inlineStr">
      <is>
        <t>540</t>
      </is>
    </nc>
  </rcc>
  <rcc rId="1827" sId="1" numFmtId="4">
    <oc r="F216">
      <v>300</v>
    </oc>
    <nc r="F216">
      <f>2950</f>
    </nc>
  </rcc>
  <rcc rId="1828" sId="1">
    <oc r="F212">
      <f>F226+F239+F217</f>
    </oc>
    <nc r="F212">
      <f>F226+F239+F217+F213</f>
    </nc>
  </rcc>
  <rcc rId="1829" sId="1" odxf="1" dxf="1">
    <oc r="D215" t="inlineStr">
      <is>
        <t>03001 82900</t>
      </is>
    </oc>
    <nc r="D215" t="inlineStr">
      <is>
        <t>03002 S2610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15" start="0" length="2147483647">
    <dxf>
      <font>
        <i/>
      </font>
    </dxf>
  </rfmt>
  <rcc rId="1830" sId="1">
    <oc r="D214" t="inlineStr">
      <is>
        <t>03001 00000</t>
      </is>
    </oc>
    <nc r="D214" t="inlineStr">
      <is>
        <t>03002 00000</t>
      </is>
    </nc>
  </rcc>
  <rcc rId="1831" sId="1">
    <oc r="A216" t="inlineStr">
      <is>
        <t>Закупка товаров, работ и услуг для государственных (муниципальных) нужд</t>
      </is>
    </oc>
    <nc r="A216" t="inlineStr">
      <is>
        <t>Иные межбюджетные трансферты</t>
      </is>
    </nc>
  </rcc>
  <rcc rId="1832" sId="1" xfDxf="1" dxf="1">
    <oc r="A215" t="inlineStr">
      <is>
        <t>Прочие мероприятия , связанные с выполнением обязательств ОМСУ</t>
      </is>
    </oc>
    <nc r="A215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33" sId="1">
    <oc r="A214" t="inlineStr">
      <is>
        <t>Основное мероприятие "Продвижение туристского продукта МО "Селенгнинский район" на внутреннем и внешних рынках"</t>
      </is>
    </oc>
    <nc r="A214"/>
  </rcc>
  <rfmt sheetId="1" sqref="A214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fmt sheetId="1" sqref="F218 F220 F225">
    <dxf>
      <fill>
        <patternFill>
          <bgColor rgb="FFFFFF00"/>
        </patternFill>
      </fill>
    </dxf>
  </rfmt>
  <rfmt sheetId="1" sqref="F218 F220 F225">
    <dxf>
      <fill>
        <patternFill>
          <bgColor theme="0"/>
        </patternFill>
      </fill>
    </dxf>
  </rfmt>
  <rrc rId="4057" sId="1" ref="A1:XFD1" action="deleteRow">
    <undo index="0" exp="area" ref3D="1" dr="$A$1:$F$463" dn="Область_печати" sId="1"/>
    <undo index="0" exp="area" ref3D="1" dr="$A$1:$F$463" dn="Z_629918FE_B1DF_464A_BF50_03D18729BC02_.wvu.PrintArea" sId="1"/>
    <undo index="0" exp="area" ref3D="1" dr="$A$1:$F$463" dn="Z_46268BFF_7767_41AD_8DD2_9220C9E060B5_.wvu.PrintArea" sId="1"/>
    <undo index="0" exp="area" ref3D="1" dr="$A$1:$F$463" dn="Z_2DDB525D_A756_4AF2_961D_1A48B45E104D_.wvu.PrintArea" sId="1"/>
    <rfmt sheetId="1" xfDxf="1" sqref="A1:XFD1" start="0" length="0"/>
  </rrc>
  <rrc rId="4058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horizontal="right" wrapText="0" readingOrder="0"/>
      </dxf>
    </rfmt>
  </rrc>
  <rrc rId="4059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4060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6" sId="1">
    <oc r="F84">
      <f>F85+F213+F95+F109+F113+F117+F121</f>
    </oc>
    <nc r="F84">
      <f>F85+F95+F109+F113+F117+F121</f>
    </nc>
  </rcc>
  <rcc rId="1837" sId="1" numFmtId="4">
    <oc r="F298">
      <f>60027.04211-1004.3-100</f>
    </oc>
    <nc r="F298">
      <v>59927.042110000002</v>
    </nc>
  </rcc>
  <rcc rId="1838" sId="1" numFmtId="4">
    <oc r="F314">
      <v>9500.7442499999997</v>
    </oc>
    <nc r="F314">
      <v>8514.4303999999993</v>
    </nc>
  </rcc>
  <rrc rId="1839" sId="1" ref="A320:XFD320" action="insertRow"/>
  <rrc rId="1840" sId="1" ref="A320:XFD320" action="insertRow"/>
  <rcc rId="1841" sId="1" odxf="1" dxf="1">
    <nc r="A320" t="inlineStr">
      <is>
        <t>Прочие мероприятия, связанные с выполнением обязательств органов местного самоуправления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842" sId="1" odxf="1" dxf="1">
    <nc r="B32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43" sId="1" odxf="1" dxf="1">
    <nc r="C32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20" start="0" length="0">
    <dxf>
      <font>
        <i/>
        <name val="Times New Roman"/>
        <family val="1"/>
      </font>
    </dxf>
  </rfmt>
  <rfmt sheetId="1" sqref="E320" start="0" length="0">
    <dxf>
      <font>
        <i/>
        <name val="Times New Roman"/>
        <family val="1"/>
      </font>
    </dxf>
  </rfmt>
  <rcc rId="1844" sId="1" odxf="1" dxf="1">
    <nc r="F320">
      <f>F321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845" sId="1">
    <nc r="B321" t="inlineStr">
      <is>
        <t>07</t>
      </is>
    </nc>
  </rcc>
  <rcc rId="1846" sId="1">
    <nc r="C321" t="inlineStr">
      <is>
        <t>02</t>
      </is>
    </nc>
  </rcc>
  <rcc rId="1847" sId="1">
    <nc r="E321" t="inlineStr">
      <is>
        <t>244</t>
      </is>
    </nc>
  </rcc>
  <rcc rId="1848" sId="1" numFmtId="4">
    <nc r="F321">
      <v>986.31385</v>
    </nc>
  </rcc>
  <rcc rId="1849" sId="1">
    <oc r="F317">
      <f>F318</f>
    </oc>
    <nc r="F317">
      <f>F318+F320</f>
    </nc>
  </rcc>
  <rcc rId="1850" sId="1" odxf="1" dxf="1">
    <nc r="A321" t="inlineStr">
      <is>
        <t>Прочие закупки товаров, работ и услуг для государственных (муниципальных) нужд</t>
      </is>
    </nc>
    <ndxf>
      <fill>
        <patternFill patternType="none">
          <bgColor indexed="65"/>
        </patternFill>
      </fill>
    </ndxf>
  </rcc>
  <rfmt sheetId="1" sqref="D321" start="0" length="0">
    <dxf>
      <fill>
        <patternFill patternType="none">
          <bgColor indexed="65"/>
        </patternFill>
      </fill>
    </dxf>
  </rfmt>
  <rcc rId="1851" sId="1">
    <nc r="D321" t="inlineStr">
      <is>
        <t>99900 S2140</t>
      </is>
    </nc>
  </rcc>
  <rcc rId="1852" sId="1" odxf="1" dxf="1">
    <nc r="D320" t="inlineStr">
      <is>
        <t>99900 S2140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D320" start="0" length="2147483647">
    <dxf>
      <font>
        <i/>
      </font>
    </dxf>
  </rfmt>
</revisions>
</file>

<file path=xl/revisions/revisionLog123.xml><?xml version="1.0" encoding="utf-8"?>
<revisions xmlns="http://schemas.openxmlformats.org/spreadsheetml/2006/main" xmlns:r="http://schemas.openxmlformats.org/officeDocument/2006/relationships">
  <rcc rId="4061" sId="1">
    <oc r="F5" t="inlineStr">
      <is>
        <t>«Селенгинский район» на 2023 год"</t>
      </is>
    </oc>
    <nc r="F5" t="inlineStr">
      <is>
        <t>«Селенгинский район» на 2023 год</t>
      </is>
    </nc>
  </rcc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3" sId="1" odxf="1" dxf="1">
    <oc r="A320" t="inlineStr">
      <is>
        <t>Прочие мероприятия, связанные с выполнением обязательств органов местного самоуправления</t>
      </is>
    </oc>
    <nc r="A32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 patternType="solid">
          <bgColor theme="0"/>
        </patternFill>
      </fill>
      <alignment vertical="top"/>
    </odxf>
    <ndxf>
      <fill>
        <patternFill patternType="none">
          <bgColor indexed="65"/>
        </patternFill>
      </fill>
      <alignment vertical="center"/>
    </ndxf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1" sId="1" xfDxf="1" dxf="1">
    <oc r="F470">
      <v>7090.2</v>
    </oc>
    <nc r="F470">
      <f>F471</f>
    </nc>
    <ndxf>
      <font>
        <i/>
        <name val="Times New Roman"/>
        <scheme val="none"/>
      </font>
      <numFmt numFmtId="164" formatCode="0.00000"/>
      <fill>
        <patternFill patternType="solid">
          <bgColor rgb="FFFFFF0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2" sId="1" numFmtId="4">
    <oc r="F471">
      <v>6657.5</v>
    </oc>
    <nc r="F471">
      <v>7090.2</v>
    </nc>
  </rcc>
  <rfmt sheetId="1" sqref="F471">
    <dxf>
      <fill>
        <patternFill>
          <bgColor rgb="FFFFFF00"/>
        </patternFill>
      </fill>
    </dxf>
  </rfmt>
  <rfmt sheetId="1" sqref="F470">
    <dxf>
      <fill>
        <patternFill>
          <bgColor theme="0"/>
        </patternFill>
      </fill>
    </dxf>
  </rfmt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4" sId="1" numFmtId="4">
    <oc r="F389">
      <v>6296.42</v>
    </oc>
    <nc r="F389">
      <v>5733.0649999999996</v>
    </nc>
  </rcc>
  <rcc rId="1855" sId="1" numFmtId="4">
    <oc r="F390">
      <v>1917.52</v>
    </oc>
    <nc r="F390">
      <v>2480.875</v>
    </nc>
  </rcc>
  <rrc rId="1856" sId="1" ref="A416:XFD416" action="insertRow"/>
  <rrc rId="1857" sId="1" ref="A416:XFD416" action="insertRow"/>
  <rfmt sheetId="1" sqref="A416" start="0" length="0">
    <dxf>
      <font>
        <i/>
        <name val="Times New Roman"/>
        <family val="1"/>
      </font>
    </dxf>
  </rfmt>
  <rcc rId="1858" sId="1" odxf="1" dxf="1">
    <nc r="B41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9" sId="1" odxf="1" dxf="1">
    <nc r="C41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6" start="0" length="0">
    <dxf>
      <font>
        <i/>
        <name val="Times New Roman"/>
        <family val="1"/>
      </font>
    </dxf>
  </rfmt>
  <rfmt sheetId="1" sqref="E416" start="0" length="0">
    <dxf>
      <font>
        <i/>
        <name val="Times New Roman"/>
        <family val="1"/>
      </font>
    </dxf>
  </rfmt>
  <rcc rId="1860" sId="1" odxf="1" dxf="1">
    <nc r="F416">
      <f>F417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>
    <nc r="B417" t="inlineStr">
      <is>
        <t>08</t>
      </is>
    </nc>
  </rcc>
  <rcc rId="1862" sId="1">
    <nc r="C417" t="inlineStr">
      <is>
        <t>01</t>
      </is>
    </nc>
  </rcc>
  <rcc rId="1863" sId="1">
    <nc r="D416" t="inlineStr">
      <is>
        <t>08101 L5190</t>
      </is>
    </nc>
  </rcc>
  <rcc rId="1864" sId="1" odxf="1" dxf="1">
    <nc r="D417" t="inlineStr">
      <is>
        <t>08101 L5190</t>
      </is>
    </nc>
    <ndxf>
      <font>
        <i/>
        <name val="Times New Roman"/>
        <family val="1"/>
      </font>
    </ndxf>
  </rcc>
  <rfmt sheetId="1" sqref="D417" start="0" length="2147483647">
    <dxf>
      <font>
        <i val="0"/>
      </font>
    </dxf>
  </rfmt>
  <rcc rId="1865" sId="1">
    <nc r="E417" t="inlineStr">
      <is>
        <t>612</t>
      </is>
    </nc>
  </rcc>
  <rcc rId="1866" sId="1" odxf="1" dxf="1">
    <nc r="A41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1867" sId="1" numFmtId="4">
    <nc r="F417">
      <v>284.52300000000002</v>
    </nc>
  </rcc>
  <rcc rId="1868" sId="1">
    <oc r="F413">
      <f>F418+F414</f>
    </oc>
    <nc r="F413">
      <f>F418+F414+F416</f>
    </nc>
  </rcc>
  <rcc rId="1869" sId="1" xfDxf="1" dxf="1">
    <nc r="A416" t="inlineStr">
      <is>
        <t>На поддержку отрасли культуры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70" sId="1" ref="A442:XFD443" action="insertRow"/>
  <rm rId="1871" sheetId="1" source="A446:XFD447" destination="A442:XFD443" sourceSheetId="1">
    <rfmt sheetId="1" xfDxf="1" sqref="A442:XFD442" start="0" length="0">
      <dxf>
        <font>
          <name val="Times New Roman CYR"/>
          <family val="1"/>
        </font>
        <alignment wrapText="1"/>
      </dxf>
    </rfmt>
    <rfmt sheetId="1" xfDxf="1" sqref="A443:XFD443" start="0" length="0">
      <dxf>
        <font>
          <name val="Times New Roman CYR"/>
          <family val="1"/>
        </font>
        <alignment wrapText="1"/>
      </dxf>
    </rfmt>
    <rfmt sheetId="1" sqref="A442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2" start="0" length="0">
      <dxf>
        <numFmt numFmtId="165" formatCode="0.00000"/>
      </dxf>
    </rfmt>
    <rfmt sheetId="1" sqref="I442" start="0" length="0">
      <dxf>
        <numFmt numFmtId="165" formatCode="0.00000"/>
      </dxf>
    </rfmt>
    <rfmt sheetId="1" sqref="A443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3" start="0" length="0">
      <dxf>
        <numFmt numFmtId="165" formatCode="0.00000"/>
      </dxf>
    </rfmt>
    <rfmt sheetId="1" sqref="I443" start="0" length="0">
      <dxf>
        <numFmt numFmtId="165" formatCode="0.00000"/>
      </dxf>
    </rfmt>
  </rm>
  <rrc rId="1872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</rrc>
  <rrc rId="1873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</rrc>
  <rcc rId="1874" sId="1">
    <oc r="G462" t="inlineStr">
      <is>
        <t>?</t>
      </is>
    </oc>
    <nc r="G462"/>
  </rcc>
  <rcv guid="{629918FE-B1DF-464A-BF50-03D18729BC02}" action="delete"/>
  <rdn rId="0" localSheetId="1" customView="1" name="Z_629918FE_B1DF_464A_BF50_03D18729BC02_.wvu.PrintArea" hidden="1" oldHidden="1">
    <formula>функцион.структура!$A$1:$F$579</formula>
    <oldFormula>функцион.структура!$A$1:$F$579</oldFormula>
  </rdn>
  <rdn rId="0" localSheetId="1" customView="1" name="Z_629918FE_B1DF_464A_BF50_03D18729BC02_.wvu.FilterData" hidden="1" oldHidden="1">
    <formula>функцион.структура!$A$17:$K$586</formula>
    <oldFormula>функцион.структура!$A$17:$K$586</oldFormula>
  </rdn>
  <rcv guid="{629918FE-B1DF-464A-BF50-03D18729BC02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7" sId="1" numFmtId="4">
    <oc r="F525">
      <f>15905.01344+262.963</f>
    </oc>
    <nc r="F525">
      <v>16143.69425</v>
    </nc>
  </rcc>
  <rcc rId="1878" sId="1" numFmtId="4">
    <oc r="F532">
      <v>611.9425</v>
    </oc>
    <nc r="F532">
      <v>624.18138999999996</v>
    </nc>
  </rcc>
  <rcc rId="1879" sId="1" numFmtId="4">
    <oc r="F534">
      <v>602.16150000000005</v>
    </oc>
    <nc r="F534">
      <v>614.20479999999998</v>
    </nc>
  </rcc>
  <rcc rId="1880" sId="1" numFmtId="4">
    <oc r="F298">
      <v>59927.042110000002</v>
    </oc>
    <nc r="F298">
      <v>58922.742109999999</v>
    </nc>
  </rcc>
  <rcc rId="1881" sId="1">
    <oc r="E581">
      <f>118987.90205+127.4</f>
    </oc>
    <nc r="E581"/>
  </rcc>
  <rcc rId="1882" sId="1">
    <oc r="E582">
      <f>F579-E581</f>
    </oc>
    <nc r="E582"/>
  </rcc>
  <rcc rId="1883" sId="1">
    <oc r="E584">
      <f>F581-E582</f>
    </oc>
    <nc r="E584"/>
  </rcc>
  <rcc rId="1884" sId="1" numFmtId="4">
    <oc r="F581">
      <v>1870412.4369000001</v>
    </oc>
    <nc r="F581">
      <v>1992462.26195</v>
    </nc>
  </rcc>
  <rcc rId="1885" sId="1">
    <nc r="F583">
      <f>F579-F581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6" sId="1">
    <oc r="H565">
      <v>999</v>
    </oc>
    <nc r="H565"/>
  </rcc>
  <rcc rId="1887" sId="1">
    <oc r="I565">
      <v>527519.24</v>
    </oc>
    <nc r="I565"/>
  </rcc>
  <rrc rId="1888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cc rId="0" sId="1">
      <nc r="G13" t="inlineStr">
        <is>
          <t xml:space="preserve"> </t>
        </is>
      </nc>
    </rcc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47" start="0" length="0">
      <dxf>
        <numFmt numFmtId="165" formatCode="0.00000"/>
      </dxf>
    </rfmt>
    <rfmt sheetId="1" sqref="G48" start="0" length="0">
      <dxf>
        <numFmt numFmtId="165" formatCode="0.00000"/>
      </dxf>
    </rfmt>
    <rfmt sheetId="1" sqref="G49" start="0" length="0">
      <dxf>
        <numFmt numFmtId="165" formatCode="0.00000"/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1" start="0" length="0">
      <dxf>
        <numFmt numFmtId="165" formatCode="0.00000"/>
      </dxf>
    </rfmt>
    <rfmt sheetId="1" sqref="G135" start="0" length="0">
      <dxf>
        <font>
          <i/>
          <name val="Times New Roman CYR"/>
          <family val="1"/>
        </font>
      </dxf>
    </rfmt>
    <rfmt sheetId="1" sqref="G169" start="0" length="0">
      <dxf>
        <numFmt numFmtId="165" formatCode="0.00000"/>
      </dxf>
    </rfmt>
    <rfmt sheetId="1" sqref="G170" start="0" length="0">
      <dxf>
        <numFmt numFmtId="165" formatCode="0.00000"/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17" start="0" length="0">
      <dxf>
        <numFmt numFmtId="165" formatCode="0.00000"/>
      </dxf>
    </rfmt>
    <rfmt sheetId="1" sqref="G218" start="0" length="0">
      <dxf>
        <numFmt numFmtId="165" formatCode="0.00000"/>
      </dxf>
    </rfmt>
    <rfmt sheetId="1" sqref="G219" start="0" length="0">
      <dxf>
        <numFmt numFmtId="165" formatCode="0.00000"/>
      </dxf>
    </rfmt>
    <rfmt sheetId="1" sqref="G220" start="0" length="0">
      <dxf>
        <numFmt numFmtId="165" formatCode="0.00000"/>
      </dxf>
    </rfmt>
    <rfmt sheetId="1" sqref="G221" start="0" length="0">
      <dxf>
        <numFmt numFmtId="165" formatCode="0.00000"/>
      </dxf>
    </rfmt>
    <rfmt sheetId="1" sqref="G222" start="0" length="0">
      <dxf>
        <numFmt numFmtId="165" formatCode="0.00000"/>
      </dxf>
    </rfmt>
    <rfmt sheetId="1" sqref="G223" start="0" length="0">
      <dxf>
        <numFmt numFmtId="165" formatCode="0.00000"/>
      </dxf>
    </rfmt>
    <rfmt sheetId="1" sqref="G224" start="0" length="0">
      <dxf>
        <numFmt numFmtId="165" formatCode="0.00000"/>
      </dxf>
    </rfmt>
    <rfmt sheetId="1" sqref="G225" start="0" length="0">
      <dxf>
        <numFmt numFmtId="165" formatCode="0.00000"/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6" start="0" length="0">
      <dxf>
        <numFmt numFmtId="165" formatCode="0.00000"/>
      </dxf>
    </rfmt>
    <rfmt sheetId="1" sqref="G277" start="0" length="0">
      <dxf>
        <font>
          <i/>
          <name val="Times New Roman CYR"/>
          <family val="1"/>
        </font>
        <numFmt numFmtId="165" formatCode="0.00000"/>
      </dxf>
    </rfmt>
    <rfmt sheetId="1" sqref="G278" start="0" length="0">
      <dxf>
        <numFmt numFmtId="165" formatCode="0.00000"/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297" start="0" length="0">
      <dxf>
        <numFmt numFmtId="165" formatCode="0.00000"/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402" start="0" length="0">
      <dxf>
        <numFmt numFmtId="165" formatCode="0.00000"/>
      </dxf>
    </rfmt>
    <rfmt sheetId="1" sqref="G408" start="0" length="0">
      <dxf>
        <numFmt numFmtId="165" formatCode="0.00000"/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5" start="0" length="0">
      <dxf>
        <numFmt numFmtId="165" formatCode="0.00000"/>
      </dxf>
    </rfmt>
    <rfmt sheetId="1" sqref="G416" start="0" length="0">
      <dxf>
        <numFmt numFmtId="165" formatCode="0.00000"/>
      </dxf>
    </rfmt>
    <rfmt sheetId="1" sqref="G417" start="0" length="0">
      <dxf>
        <numFmt numFmtId="165" formatCode="0.00000"/>
      </dxf>
    </rfmt>
    <rfmt sheetId="1" sqref="G419" start="0" length="0">
      <dxf>
        <font>
          <i/>
          <name val="Times New Roman CYR"/>
          <family val="1"/>
        </font>
      </dxf>
    </rfmt>
    <rfmt sheetId="1" sqref="G424" start="0" length="0">
      <dxf>
        <numFmt numFmtId="165" formatCode="0.00000"/>
      </dxf>
    </rfmt>
    <rfmt sheetId="1" sqref="G434" start="0" length="0">
      <dxf>
        <numFmt numFmtId="165" formatCode="0.00000"/>
      </dxf>
    </rfmt>
    <rfmt sheetId="1" sqref="G435" start="0" length="0">
      <dxf>
        <numFmt numFmtId="165" formatCode="0.00000"/>
      </dxf>
    </rfmt>
    <rfmt sheetId="1" sqref="G436" start="0" length="0">
      <dxf>
        <numFmt numFmtId="165" formatCode="0.00000"/>
      </dxf>
    </rfmt>
    <rfmt sheetId="1" sqref="G437" start="0" length="0">
      <dxf>
        <numFmt numFmtId="165" formatCode="0.00000"/>
      </dxf>
    </rfmt>
    <rfmt sheetId="1" sqref="G438" start="0" length="0">
      <dxf>
        <numFmt numFmtId="165" formatCode="0.00000"/>
      </dxf>
    </rfmt>
    <rfmt sheetId="1" sqref="G439" start="0" length="0">
      <dxf>
        <font>
          <i/>
          <name val="Times New Roman CYR"/>
          <family val="1"/>
        </font>
        <numFmt numFmtId="165" formatCode="0.00000"/>
      </dxf>
    </rfmt>
    <rfmt sheetId="1" sqref="G440" start="0" length="0">
      <dxf>
        <numFmt numFmtId="165" formatCode="0.00000"/>
      </dxf>
    </rfmt>
    <rfmt sheetId="1" sqref="G441" start="0" length="0">
      <dxf>
        <numFmt numFmtId="165" formatCode="0.00000"/>
      </dxf>
    </rfmt>
    <rfmt sheetId="1" sqref="G442" start="0" length="0">
      <dxf>
        <numFmt numFmtId="165" formatCode="0.00000"/>
      </dxf>
    </rfmt>
    <rfmt sheetId="1" sqref="G443" start="0" length="0">
      <dxf>
        <numFmt numFmtId="165" formatCode="0.00000"/>
      </dxf>
    </rfmt>
    <rfmt sheetId="1" sqref="G444" start="0" length="0">
      <dxf>
        <numFmt numFmtId="165" formatCode="0.00000"/>
      </dxf>
    </rfmt>
    <rfmt sheetId="1" sqref="G453" start="0" length="0">
      <dxf>
        <numFmt numFmtId="165" formatCode="0.00000"/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83" start="0" length="0">
      <dxf>
        <fill>
          <patternFill patternType="solid">
            <bgColor rgb="FF92D050"/>
          </patternFill>
        </fill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</dxf>
    </rfmt>
    <rfmt sheetId="1" sqref="G494" start="0" length="0">
      <dxf>
        <numFmt numFmtId="165" formatCode="0.00000"/>
      </dxf>
    </rfmt>
    <rfmt sheetId="1" sqref="G501" start="0" length="0">
      <dxf/>
    </rfmt>
    <rfmt sheetId="1" sqref="G510" start="0" length="0">
      <dxf>
        <fill>
          <patternFill patternType="solid">
            <bgColor rgb="FFFFFF00"/>
          </patternFill>
        </fill>
      </dxf>
    </rfmt>
    <rfmt sheetId="1" sqref="G511" start="0" length="0">
      <dxf>
        <fill>
          <patternFill patternType="solid">
            <bgColor rgb="FFFFFF00"/>
          </patternFill>
        </fill>
      </dxf>
    </rfmt>
    <rfmt sheetId="1" sqref="G512" start="0" length="0">
      <dxf>
        <numFmt numFmtId="165" formatCode="0.00000"/>
      </dxf>
    </rfmt>
    <rfmt sheetId="1" sqref="G513" start="0" length="0">
      <dxf>
        <numFmt numFmtId="165" formatCode="0.00000"/>
      </dxf>
    </rfmt>
    <rfmt sheetId="1" sqref="G515" start="0" length="0">
      <dxf>
        <fill>
          <patternFill patternType="solid">
            <bgColor rgb="FFFFFF00"/>
          </patternFill>
        </fill>
      </dxf>
    </rfmt>
    <rfmt sheetId="1" sqref="G516" start="0" length="0">
      <dxf>
        <fill>
          <patternFill patternType="solid">
            <bgColor rgb="FFFFFF00"/>
          </patternFill>
        </fill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  <numFmt numFmtId="165" formatCode="0.00000"/>
      </dxf>
    </rfmt>
    <rfmt sheetId="1" sqref="G526" start="0" length="0">
      <dxf>
        <font>
          <i/>
          <name val="Times New Roman CYR"/>
          <family val="1"/>
        </font>
        <numFmt numFmtId="165" formatCode="0.00000"/>
      </dxf>
    </rfmt>
    <rfmt sheetId="1" sqref="G527" start="0" length="0">
      <dxf>
        <numFmt numFmtId="165" formatCode="0.00000"/>
      </dxf>
    </rfmt>
    <rfmt sheetId="1" sqref="G529" start="0" length="0">
      <dxf>
        <font>
          <i/>
          <name val="Times New Roman CYR"/>
          <family val="1"/>
        </font>
        <numFmt numFmtId="165" formatCode="0.00000"/>
      </dxf>
    </rfmt>
    <rfmt sheetId="1" sqref="G530" start="0" length="0">
      <dxf>
        <font>
          <i/>
          <name val="Times New Roman CYR"/>
          <family val="1"/>
        </font>
        <numFmt numFmtId="165" formatCode="0.00000"/>
      </dxf>
    </rfmt>
    <rfmt sheetId="1" sqref="G531" start="0" length="0">
      <dxf>
        <font>
          <i/>
          <name val="Times New Roman CYR"/>
          <family val="1"/>
        </font>
        <numFmt numFmtId="165" formatCode="0.00000"/>
      </dxf>
    </rfmt>
    <rfmt sheetId="1" sqref="G532" start="0" length="0">
      <dxf>
        <font>
          <i/>
          <name val="Times New Roman CYR"/>
          <family val="1"/>
        </font>
        <numFmt numFmtId="165" formatCode="0.00000"/>
      </dxf>
    </rfmt>
    <rfmt sheetId="1" sqref="G533" start="0" length="0">
      <dxf>
        <font>
          <i/>
          <name val="Times New Roman CYR"/>
          <family val="1"/>
        </font>
        <numFmt numFmtId="165" formatCode="0.00000"/>
      </dxf>
    </rfmt>
    <rfmt sheetId="1" sqref="G534" start="0" length="0">
      <dxf>
        <font>
          <i/>
          <name val="Times New Roman CYR"/>
          <family val="1"/>
        </font>
        <numFmt numFmtId="165" formatCode="0.00000"/>
      </dxf>
    </rfmt>
    <rfmt sheetId="1" sqref="G536" start="0" length="0">
      <dxf>
        <numFmt numFmtId="165" formatCode="0.00000"/>
      </dxf>
    </rfmt>
    <rfmt sheetId="1" sqref="G537" start="0" length="0">
      <dxf>
        <numFmt numFmtId="165" formatCode="0.00000"/>
      </dxf>
    </rfmt>
    <rfmt sheetId="1" sqref="G538" start="0" length="0">
      <dxf>
        <numFmt numFmtId="165" formatCode="0.00000"/>
      </dxf>
    </rfmt>
    <rfmt sheetId="1" sqref="G539" start="0" length="0">
      <dxf>
        <numFmt numFmtId="165" formatCode="0.00000"/>
      </dxf>
    </rfmt>
    <rfmt sheetId="1" sqref="G540" start="0" length="0">
      <dxf>
        <numFmt numFmtId="165" formatCode="0.00000"/>
      </dxf>
    </rfmt>
    <rfmt sheetId="1" sqref="G543" start="0" length="0">
      <dxf>
        <numFmt numFmtId="165" formatCode="0.00000"/>
      </dxf>
    </rfmt>
    <rfmt sheetId="1" sqref="G551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2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54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5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6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80" start="0" length="0">
      <dxf>
        <numFmt numFmtId="165" formatCode="0.00000"/>
      </dxf>
    </rfmt>
    <rfmt sheetId="1" sqref="G582" start="0" length="0">
      <dxf>
        <alignment horizontal="right"/>
      </dxf>
    </rfmt>
    <rfmt sheetId="1" sqref="G583" start="0" length="0">
      <dxf>
        <alignment horizontal="right"/>
      </dxf>
    </rfmt>
  </rrc>
  <rrc rId="1889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9" start="0" length="0">
      <dxf>
        <numFmt numFmtId="165" formatCode="0.00000"/>
      </dxf>
    </rfmt>
    <rfmt sheetId="1" sqref="G20" start="0" length="0">
      <dxf>
        <numFmt numFmtId="165" formatCode="0.00000"/>
      </dxf>
    </rfmt>
    <rfmt sheetId="1" sqref="G21" start="0" length="0">
      <dxf>
        <font>
          <b/>
          <name val="Times New Roman CYR"/>
          <family val="1"/>
        </font>
        <numFmt numFmtId="165" formatCode="0.00000"/>
      </dxf>
    </rfmt>
    <rfmt sheetId="1" sqref="G22" start="0" length="0">
      <dxf>
        <font>
          <i/>
          <name val="Times New Roman CYR"/>
          <family val="1"/>
        </font>
        <numFmt numFmtId="165" formatCode="0.00000"/>
      </dxf>
    </rfmt>
    <rfmt sheetId="1" sqref="G23" start="0" length="0">
      <dxf>
        <numFmt numFmtId="165" formatCode="0.00000"/>
      </dxf>
    </rfmt>
    <rcc rId="0" sId="1" dxf="1">
      <nc r="G24">
        <f>F23+F24+F32+F33+F36+F37+F38+F39++F40+F42+F43+F48+F49+F50+F53+F54+F55+F62+F76+F75+F83+F123+F124+F129+F130+F131+F132+F134+F135+F136+F137+F139+F140+F141+F142+F146+F144+F149+F150+F151+F152+F153+F154+F155+F156+F161+F179+F181+F182+F184+F186+F187+F189+F191+F192+F195+F196+F197+F198+F241+F248+F258+F259+#REF!+F319+F443+F447+F470+F474+F476+F487+F488+F489+F490+F492+F493+F494+F495+F497+F498+F519</f>
      </nc>
      <ndxf>
        <numFmt numFmtId="165" formatCode="0.00000"/>
      </ndxf>
    </rcc>
    <rfmt sheetId="1" sqref="G25" start="0" length="0">
      <dxf>
        <numFmt numFmtId="165" formatCode="0.00000"/>
      </dxf>
    </rfmt>
    <rfmt sheetId="1" sqref="G26" start="0" length="0">
      <dxf>
        <numFmt numFmtId="165" formatCode="0.00000"/>
      </dxf>
    </rfmt>
    <rfmt sheetId="1" sqref="G27" start="0" length="0">
      <dxf>
        <numFmt numFmtId="165" formatCode="0.00000"/>
      </dxf>
    </rfmt>
    <rfmt sheetId="1" sqref="G28" start="0" length="0">
      <dxf>
        <numFmt numFmtId="165" formatCode="0.00000"/>
      </dxf>
    </rfmt>
    <rfmt sheetId="1" sqref="G29" start="0" length="0">
      <dxf>
        <numFmt numFmtId="165" formatCode="0.00000"/>
      </dxf>
    </rfmt>
    <rfmt sheetId="1" sqref="G31" start="0" length="0">
      <dxf>
        <font>
          <i/>
          <name val="Times New Roman CYR"/>
          <family val="1"/>
        </font>
        <numFmt numFmtId="165" formatCode="0.00000"/>
      </dxf>
    </rfmt>
    <rfmt sheetId="1" sqref="G32" start="0" length="0">
      <dxf>
        <numFmt numFmtId="165" formatCode="0.00000"/>
      </dxf>
    </rfmt>
    <rfmt sheetId="1" sqref="G33" start="0" length="0">
      <dxf>
        <numFmt numFmtId="165" formatCode="0.00000"/>
      </dxf>
    </rfmt>
    <rfmt sheetId="1" sqref="G34" start="0" length="0">
      <dxf>
        <font>
          <b/>
          <name val="Times New Roman CYR"/>
          <family val="1"/>
        </font>
      </dxf>
    </rfmt>
    <rfmt sheetId="1" sqref="G35" start="0" length="0">
      <dxf>
        <numFmt numFmtId="165" formatCode="0.00000"/>
      </dxf>
    </rfmt>
    <rfmt sheetId="1" sqref="G38" start="0" length="0">
      <dxf>
        <numFmt numFmtId="165" formatCode="0.00000"/>
      </dxf>
    </rfmt>
    <rfmt sheetId="1" sqref="G41" start="0" length="0">
      <dxf>
        <numFmt numFmtId="165" formatCode="0.00000"/>
      </dxf>
    </rfmt>
    <rfmt sheetId="1" sqref="G42" start="0" length="0">
      <dxf>
        <numFmt numFmtId="165" formatCode="0.00000"/>
      </dxf>
    </rfmt>
    <rfmt sheetId="1" sqref="G46" start="0" length="0">
      <dxf>
        <font>
          <b/>
          <name val="Times New Roman CYR"/>
          <family val="1"/>
        </font>
      </dxf>
    </rfmt>
    <rfmt sheetId="1" sqref="G65" start="0" length="0">
      <dxf>
        <numFmt numFmtId="165" formatCode="0.00000"/>
      </dxf>
    </rfmt>
    <rfmt sheetId="1" sqref="G66" start="0" length="0">
      <dxf>
        <font>
          <i/>
          <name val="Times New Roman CYR"/>
          <family val="1"/>
        </font>
        <numFmt numFmtId="165" formatCode="0.00000"/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  <numFmt numFmtId="165" formatCode="0.00000"/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  <numFmt numFmtId="165" formatCode="0.00000"/>
      </dxf>
    </rfmt>
    <rfmt sheetId="1" sqref="G71" start="0" length="0">
      <dxf>
        <font>
          <i/>
          <name val="Times New Roman CYR"/>
          <family val="1"/>
        </font>
        <numFmt numFmtId="165" formatCode="0.00000"/>
      </dxf>
    </rfmt>
    <rfmt sheetId="1" sqref="G72" start="0" length="0">
      <dxf>
        <font>
          <i/>
          <name val="Times New Roman CYR"/>
          <family val="1"/>
        </font>
        <numFmt numFmtId="165" formatCode="0.00000"/>
      </dxf>
    </rfmt>
    <rfmt sheetId="1" sqref="G73" start="0" length="0">
      <dxf>
        <font>
          <i/>
          <name val="Times New Roman CYR"/>
          <family val="1"/>
        </font>
        <numFmt numFmtId="165" formatCode="0.00000"/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  <numFmt numFmtId="165" formatCode="0.00000"/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6" start="0" length="0">
      <dxf>
        <font>
          <i/>
          <name val="Times New Roman CYR"/>
          <family val="1"/>
        </font>
      </dxf>
    </rfmt>
    <rfmt sheetId="1" sqref="G97" start="0" length="0">
      <dxf>
        <font>
          <i/>
          <name val="Times New Roman CYR"/>
          <family val="1"/>
        </font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3" start="0" length="0">
      <dxf>
        <numFmt numFmtId="165" formatCode="0.00000"/>
      </dxf>
    </rfmt>
    <rfmt sheetId="1" sqref="G114" start="0" length="0">
      <dxf>
        <numFmt numFmtId="165" formatCode="0.00000"/>
      </dxf>
    </rfmt>
    <rfmt sheetId="1" sqref="G115" start="0" length="0">
      <dxf>
        <font>
          <i/>
          <name val="Times New Roman CYR"/>
          <family val="1"/>
        </font>
        <numFmt numFmtId="165" formatCode="0.00000"/>
      </dxf>
    </rfmt>
    <rfmt sheetId="1" sqref="G116" start="0" length="0">
      <dxf>
        <numFmt numFmtId="165" formatCode="0.00000"/>
      </dxf>
    </rfmt>
    <rfmt sheetId="1" sqref="G117" start="0" length="0">
      <dxf>
        <numFmt numFmtId="165" formatCode="0.00000"/>
      </dxf>
    </rfmt>
    <rfmt sheetId="1" sqref="G118" start="0" length="0">
      <dxf>
        <numFmt numFmtId="165" formatCode="0.00000"/>
      </dxf>
    </rfmt>
    <rfmt sheetId="1" sqref="G119" start="0" length="0">
      <dxf>
        <font>
          <i/>
          <name val="Times New Roman CYR"/>
          <family val="1"/>
        </font>
        <numFmt numFmtId="165" formatCode="0.00000"/>
      </dxf>
    </rfmt>
    <rfmt sheetId="1" sqref="G120" start="0" length="0">
      <dxf>
        <numFmt numFmtId="165" formatCode="0.00000"/>
      </dxf>
    </rfmt>
    <rfmt sheetId="1" sqref="G135" start="0" length="0">
      <dxf>
        <font>
          <i/>
          <name val="Times New Roman CYR"/>
          <family val="1"/>
        </font>
      </dxf>
    </rfmt>
    <rfmt sheetId="1" sqref="G140" start="0" length="0">
      <dxf>
        <numFmt numFmtId="165" formatCode="0.00000"/>
      </dxf>
    </rfmt>
    <rfmt sheetId="1" sqref="G141" start="0" length="0">
      <dxf>
        <numFmt numFmtId="165" formatCode="0.00000"/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cc rId="0" sId="1" dxf="1">
      <nc r="G276">
        <f>F284+F280+F290+F292+F294+F296+F306+F300+F304+F302+F338+F352+F368+F370+F371+F378+1800+F310+F282+F297+F335+F381+F405+F408</f>
      </nc>
      <ndxf>
        <numFmt numFmtId="165" formatCode="0.00000"/>
      </ndxf>
    </rcc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0" start="0" length="0">
      <dxf>
        <numFmt numFmtId="165" formatCode="0.00000"/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cc rId="0" sId="1" dxf="1">
      <nc r="G324">
        <f>F335+F338</f>
      </nc>
      <ndxf>
        <numFmt numFmtId="165" formatCode="0.00000"/>
      </ndxf>
    </rcc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1" start="0" length="0">
      <dxf>
        <numFmt numFmtId="165" formatCode="0.00000"/>
      </dxf>
    </rfmt>
    <rfmt sheetId="1" sqref="G412" start="0" length="0">
      <dxf>
        <font>
          <i/>
          <name val="Times New Roman CYR"/>
          <family val="1"/>
        </font>
      </dxf>
    </rfmt>
    <rfmt sheetId="1" sqref="G414" start="0" length="0">
      <dxf>
        <numFmt numFmtId="165" formatCode="0.00000"/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  <numFmt numFmtId="165" formatCode="0.00000"/>
      </dxf>
    </rfmt>
    <rfmt sheetId="1" sqref="G485" start="0" length="0">
      <dxf>
        <numFmt numFmtId="165" formatCode="0.00000"/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  <numFmt numFmtId="165" formatCode="0.00000"/>
      </dxf>
    </rfmt>
    <rfmt sheetId="1" sqref="G501" start="0" length="0">
      <dxf/>
    </rfmt>
    <rfmt sheetId="1" sqref="G512" start="0" length="0">
      <dxf>
        <numFmt numFmtId="165" formatCode="0.00000"/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37" start="0" length="0">
      <dxf>
        <numFmt numFmtId="165" formatCode="0.00000"/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9" start="0" length="0">
      <dxf>
        <numFmt numFmtId="165" formatCode="0.00000"/>
      </dxf>
    </rfmt>
    <rfmt sheetId="1" sqref="G580" start="0" length="0">
      <dxf>
        <numFmt numFmtId="165" formatCode="0.00000"/>
      </dxf>
    </rfmt>
    <rfmt sheetId="1" sqref="G585" start="0" length="0">
      <dxf>
        <numFmt numFmtId="165" formatCode="0.00000"/>
      </dxf>
    </rfmt>
  </rrc>
  <rrc rId="1890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0" start="0" length="0">
      <dxf>
        <numFmt numFmtId="165" formatCode="0.00000"/>
      </dxf>
    </rfmt>
    <rfmt sheetId="1" sqref="G21" start="0" length="0">
      <dxf>
        <font>
          <b/>
          <name val="Times New Roman CYR"/>
          <family val="1"/>
        </font>
        <numFmt numFmtId="165" formatCode="0.00000"/>
      </dxf>
    </rfmt>
    <rfmt sheetId="1" sqref="G22" start="0" length="0">
      <dxf>
        <font>
          <i/>
          <name val="Times New Roman CYR"/>
          <family val="1"/>
        </font>
      </dxf>
    </rfmt>
    <rfmt sheetId="1" sqref="G23" start="0" length="0">
      <dxf>
        <numFmt numFmtId="165" formatCode="0.00000"/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  <numFmt numFmtId="165" formatCode="0.00000"/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  <numFmt numFmtId="165" formatCode="0.00000"/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  <numFmt numFmtId="165" formatCode="0.00000"/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cc rId="0" sId="1" dxf="1">
      <nc r="G356" t="inlineStr">
        <is>
          <t>=</t>
        </is>
      </nc>
      <ndxf>
        <font>
          <i/>
          <name val="Times New Roman CYR"/>
          <family val="1"/>
        </font>
      </ndxf>
    </rcc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cc rId="0" sId="1" dxf="1">
      <nc r="G372">
        <f>F374+1800+F364+F353+F335+F338+F285+F275</f>
      </nc>
      <ndxf>
        <font>
          <i/>
          <name val="Times New Roman CYR"/>
          <family val="1"/>
        </font>
        <numFmt numFmtId="165" formatCode="0.00000"/>
      </ndxf>
    </rcc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3" start="0" length="0">
      <dxf>
        <numFmt numFmtId="165" formatCode="0.00000"/>
      </dxf>
    </rfmt>
    <rfmt sheetId="1" sqref="G424" start="0" length="0">
      <dxf>
        <numFmt numFmtId="165" formatCode="0.00000"/>
      </dxf>
    </rfmt>
    <rfmt sheetId="1" sqref="G425" start="0" length="0">
      <dxf>
        <numFmt numFmtId="165" formatCode="0.00000"/>
      </dxf>
    </rfmt>
    <rfmt sheetId="1" sqref="G432" start="0" length="0">
      <dxf>
        <numFmt numFmtId="165" formatCode="0.00000"/>
      </dxf>
    </rfmt>
    <rfmt sheetId="1" sqref="G433" start="0" length="0">
      <dxf>
        <numFmt numFmtId="165" formatCode="0.00000"/>
      </dxf>
    </rfmt>
    <rfmt sheetId="1" sqref="G434" start="0" length="0">
      <dxf>
        <numFmt numFmtId="165" formatCode="0.00000"/>
      </dxf>
    </rfmt>
    <rfmt sheetId="1" sqref="G435" start="0" length="0">
      <dxf>
        <numFmt numFmtId="165" formatCode="0.00000"/>
      </dxf>
    </rfmt>
    <rfmt sheetId="1" sqref="G436" start="0" length="0">
      <dxf>
        <numFmt numFmtId="165" formatCode="0.00000"/>
      </dxf>
    </rfmt>
    <rfmt sheetId="1" sqref="G437" start="0" length="0">
      <dxf>
        <numFmt numFmtId="165" formatCode="0.00000"/>
      </dxf>
    </rfmt>
    <rfmt sheetId="1" sqref="G438" start="0" length="0">
      <dxf>
        <numFmt numFmtId="165" formatCode="0.00000"/>
      </dxf>
    </rfmt>
    <rfmt sheetId="1" sqref="G439" start="0" length="0">
      <dxf>
        <font>
          <i/>
          <name val="Times New Roman CYR"/>
          <family val="1"/>
        </font>
        <numFmt numFmtId="165" formatCode="0.00000"/>
      </dxf>
    </rfmt>
    <rfmt sheetId="1" sqref="G440" start="0" length="0">
      <dxf>
        <numFmt numFmtId="165" formatCode="0.00000"/>
      </dxf>
    </rfmt>
    <rfmt sheetId="1" sqref="G441" start="0" length="0">
      <dxf>
        <numFmt numFmtId="165" formatCode="0.00000"/>
      </dxf>
    </rfmt>
    <rfmt sheetId="1" sqref="G442" start="0" length="0">
      <dxf>
        <numFmt numFmtId="165" formatCode="0.00000"/>
      </dxf>
    </rfmt>
    <rfmt sheetId="1" sqref="G443" start="0" length="0">
      <dxf>
        <numFmt numFmtId="165" formatCode="0.00000"/>
      </dxf>
    </rfmt>
    <rfmt sheetId="1" sqref="G444" start="0" length="0">
      <dxf>
        <numFmt numFmtId="165" formatCode="0.00000"/>
      </dxf>
    </rfmt>
    <rfmt sheetId="1" sqref="G445" start="0" length="0">
      <dxf>
        <numFmt numFmtId="165" formatCode="0.00000"/>
      </dxf>
    </rfmt>
    <rfmt sheetId="1" sqref="G446" start="0" length="0">
      <dxf>
        <numFmt numFmtId="165" formatCode="0.00000"/>
      </dxf>
    </rfmt>
    <rfmt sheetId="1" sqref="G447" start="0" length="0">
      <dxf>
        <numFmt numFmtId="165" formatCode="0.00000"/>
      </dxf>
    </rfmt>
    <rfmt sheetId="1" sqref="G448" start="0" length="0">
      <dxf>
        <numFmt numFmtId="165" formatCode="0.00000"/>
      </dxf>
    </rfmt>
    <rfmt sheetId="1" sqref="G449" start="0" length="0">
      <dxf>
        <numFmt numFmtId="165" formatCode="0.00000"/>
      </dxf>
    </rfmt>
    <rfmt sheetId="1" sqref="G450" start="0" length="0">
      <dxf>
        <numFmt numFmtId="165" formatCode="0.00000"/>
      </dxf>
    </rfmt>
    <rfmt sheetId="1" sqref="G451" start="0" length="0">
      <dxf>
        <numFmt numFmtId="165" formatCode="0.00000"/>
      </dxf>
    </rfmt>
    <rfmt sheetId="1" sqref="G452" start="0" length="0">
      <dxf>
        <numFmt numFmtId="165" formatCode="0.00000"/>
      </dxf>
    </rfmt>
    <rfmt sheetId="1" sqref="G453" start="0" length="0">
      <dxf>
        <numFmt numFmtId="165" formatCode="0.00000"/>
      </dxf>
    </rfmt>
    <rfmt sheetId="1" sqref="G454" start="0" length="0">
      <dxf>
        <numFmt numFmtId="165" formatCode="0.00000"/>
      </dxf>
    </rfmt>
    <rfmt sheetId="1" sqref="G455" start="0" length="0">
      <dxf>
        <numFmt numFmtId="165" formatCode="0.00000"/>
      </dxf>
    </rfmt>
    <rfmt sheetId="1" sqref="G456" start="0" length="0">
      <dxf>
        <numFmt numFmtId="165" formatCode="0.00000"/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</dxf>
    </rfmt>
    <rfmt sheetId="1" sqref="G501" start="0" length="0">
      <dxf/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9" start="0" length="0">
      <dxf>
        <numFmt numFmtId="165" formatCode="0.00000"/>
      </dxf>
    </rfmt>
    <rfmt sheetId="1" sqref="G580" start="0" length="0">
      <dxf>
        <alignment horizontal="right"/>
      </dxf>
    </rfmt>
    <rfmt sheetId="1" sqref="G582" start="0" length="0">
      <dxf>
        <alignment horizontal="left"/>
      </dxf>
    </rfmt>
    <rfmt sheetId="1" sqref="G583" start="0" length="0">
      <dxf>
        <alignment horizontal="left"/>
      </dxf>
    </rfmt>
    <rfmt sheetId="1" sqref="G584" start="0" length="0">
      <dxf>
        <alignment horizontal="left"/>
      </dxf>
    </rfmt>
  </rrc>
  <rrc rId="1891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sz val="14"/>
          <name val="Times New Roman CYR"/>
          <family val="1"/>
        </font>
        <numFmt numFmtId="165" formatCode="0.00000"/>
        <fill>
          <patternFill patternType="solid">
            <bgColor rgb="FF92D050"/>
          </patternFill>
        </fill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01" start="0" length="0">
      <dxf/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80" start="0" length="0">
      <dxf>
        <alignment horizontal="right"/>
      </dxf>
    </rfmt>
    <rfmt sheetId="1" sqref="G582" start="0" length="0">
      <dxf>
        <numFmt numFmtId="165" formatCode="0.00000"/>
      </dxf>
    </rfmt>
    <rfmt sheetId="1" sqref="G583" start="0" length="0">
      <dxf>
        <numFmt numFmtId="165" formatCode="0.00000"/>
      </dxf>
    </rfmt>
  </rrc>
  <rrc rId="1892" sId="1" ref="G1:G1048576" action="deleteCol">
    <undo index="65535" exp="area" ref3D="1" dr="$A$17:$G$579" dn="Z_683736F1_FEF9_48A4_8C1A_A3E08645BD86_.wvu.FilterData" sId="1"/>
    <undo index="65535" exp="area" ref3D="1" dr="$A$17:$G$586" dn="Z_2DDB525D_A756_4AF2_961D_1A48B45E104D_.wvu.FilterData" sId="1"/>
    <undo index="65535" exp="area" ref3D="1" dr="$A$17:$G$586" dn="Z_61A549A4_F123_4413_B321_2E14EC38E18A_.wvu.FilterData" sId="1"/>
    <undo index="65535" exp="area" ref3D="1" dr="$A$17:$G$579" dn="Z_46268BFF_7767_41AD_8DD2_9220C9E060B5_.wvu.FilterData" sId="1"/>
    <undo index="65535" exp="area" ref3D="1" dr="$A$17:$G$586" dn="Z_1540E9CA_2997_4E1B_906E_94AE412FC846_.wvu.FilterData" sId="1"/>
    <undo index="65535" exp="area" ref3D="1" dr="$A$17:$G$579" dn="Z_D82246B9_B8C4_4E65_9333_6334524B4A33_.wvu.FilterData" sId="1"/>
    <undo index="65535" exp="area" ref3D="1" dr="$A$17:$G$586" dn="Z_AE32E14C_C5CB_469A_8B6D_FF52230941EC_.wvu.FilterData" sId="1"/>
    <undo index="65535" exp="area" ref3D="1" dr="$A$17:$G$579" dn="Z_6C334063_1DB9_4CC2_A59B_3A4CBEDE88DC_.wvu.FilterData" sId="1"/>
    <undo index="65535" exp="area" ref3D="1" dr="$A$17:$G$586" dn="Z_54B89DCF_F070_4BDE_9121_7C0B93C57FB3_.wvu.FilterData" sId="1"/>
    <undo index="65535" exp="area" ref3D="1" dr="$A$17:$G$586" dn="Z_0AC28E1E_2838_40D1_A185_A3C1D8D5DA55_.wvu.FilterData" sId="1"/>
    <undo index="65535" exp="area" ref3D="1" dr="$A$17:$G$586" dn="_ФильтрБазыДанных" sId="1"/>
    <undo index="65535" exp="area" ref3D="1" dr="$A$17:$G$586" dn="Z_F82B55DB_8F0F_48F4_856E_58CED3A2309D_.wvu.FilterData" sId="1"/>
    <undo index="65535" exp="area" ref3D="1" dr="$A$17:$G$586" dn="Z_5DFFD117_7452_4244_8154_2623D947165B_.wvu.FilterData" sId="1"/>
    <undo index="65535" exp="area" ref3D="1" dr="$A$17:$G$586" dn="Z_629918FE_B1DF_464A_BF50_03D18729BC02_.wvu.FilterData" sId="1"/>
    <undo index="65535" exp="area" ref3D="1" dr="$A$17:$G$586" dn="Z_97ABFCCB_6B5D_4655_BFFF_42DE8E1EC4AD_.wvu.FilterData" sId="1"/>
    <undo index="65535" exp="area" ref3D="1" dr="$A$17:$G$579" dn="Z_0962258E_7FEC_45BB_9F6F_812DB142D7D3_.wvu.FilterData" sId="1"/>
    <undo index="65535" exp="area" ref3D="1" dr="$A$17:$G$586" dn="Z_4F4D8688_6AF1_4BB3_87B1_06F4D1FA8222_.wvu.FilterData" sId="1"/>
    <undo index="65535" exp="area" ref3D="1" dr="$A$17:$G$579" dn="Z_70242F4D_CC02_4A64_8DD1_8AA5D37314E9_.wvu.FilterData" sId="1"/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</rrc>
  <rrc rId="1893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6" start="0" length="0">
      <dxf>
        <font>
          <i/>
          <name val="Times New Roman CYR"/>
          <family val="1"/>
        </font>
      </dxf>
    </rfmt>
    <rfmt sheetId="1" sqref="G97" start="0" length="0">
      <dxf>
        <font>
          <i/>
          <name val="Times New Roman CYR"/>
          <family val="1"/>
        </font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</rr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4" sId="1" odxf="1" dxf="1">
    <nc r="H208">
      <f>F116+F203+F208+F216+F246+F248+F259+F261+F269+F272+F438+F445+F447+F516+F571+F575+F578</f>
    </nc>
    <odxf>
      <numFmt numFmtId="0" formatCode="General"/>
    </odxf>
    <ndxf>
      <numFmt numFmtId="165" formatCode="0.00000"/>
    </ndxf>
  </rcc>
  <rcc rId="1895" sId="1">
    <oc r="E266" t="inlineStr">
      <is>
        <t>244</t>
      </is>
    </oc>
    <nc r="E266" t="inlineStr">
      <is>
        <t>540</t>
      </is>
    </nc>
  </rcc>
  <rcc rId="1896" sId="1" odxf="1" dxf="1">
    <oc r="A266" t="inlineStr">
      <is>
        <t>Прочие закупки товаров, работ и услуг для государственных (муниципальных) нужд</t>
      </is>
    </oc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7" sId="1">
    <oc r="H208">
      <f>F116+F203+F208+F216+F246+F248+F259+F261+F269+F272+F438+F445+F447+F516+F571+F575+F578</f>
    </oc>
    <nc r="H208"/>
  </rcc>
  <rcc rId="1898" sId="1">
    <oc r="E405" t="inlineStr">
      <is>
        <t>612</t>
      </is>
    </oc>
    <nc r="E405" t="inlineStr">
      <is>
        <t>244</t>
      </is>
    </nc>
  </rcc>
  <rcc rId="1899" sId="1" odxf="1" dxf="1">
    <oc r="A404" t="inlineStr">
      <is>
        <t>Расходы на проведение мероприятий  для детей и молодежи</t>
      </is>
    </oc>
    <nc r="A404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 CYR"/>
      </font>
      <fill>
        <patternFill patternType="none"/>
      </fill>
      <border outline="0">
        <left style="medium">
          <color indexed="64"/>
        </left>
      </border>
    </odxf>
    <n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ndxf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5379" sId="1" odxf="1">
    <oc r="F3" t="inlineStr">
      <is>
        <t>от 12 января 2023  № 233</t>
      </is>
    </oc>
    <nc r="F3" t="inlineStr">
      <is>
        <t>от ____ января 2023  № ____</t>
      </is>
    </nc>
    <odxf/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>
    <oc r="E431" t="inlineStr">
      <is>
        <t>621</t>
      </is>
    </oc>
    <nc r="E431" t="inlineStr">
      <is>
        <t>622</t>
      </is>
    </nc>
  </rcc>
  <rcc rId="1901" sId="1" odxf="1" dxf="1">
    <oc r="A43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31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902" sId="1" odxf="1" dxf="1">
    <oc r="A53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>
          <bgColor indexed="9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 style="medium">
          <color indexed="64"/>
        </left>
      </border>
    </ndxf>
  </rcc>
  <rcc rId="1903" sId="1" odxf="1" dxf="1">
    <oc r="A53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3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>
          <bgColor indexed="9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 style="medium">
          <color indexed="64"/>
        </left>
      </border>
    </ndxf>
  </rcc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 xfDxf="1" dxf="1">
    <nc r="A214" t="inlineStr">
      <is>
        <t>Основное мероприятие "Содействие в развитии системы территориального общественного самоуправления"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14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функцион.структура!$A$1:$F$579</formula>
    <oldFormula>функцион.структура!$A$1:$F$579</oldFormula>
  </rdn>
  <rdn rId="0" localSheetId="1" customView="1" name="Z_629918FE_B1DF_464A_BF50_03D18729BC02_.wvu.FilterData" hidden="1" oldHidden="1">
    <formula>функцион.структура!$A$17:$F$586</formula>
    <oldFormula>функцион.структура!$A$17:$F$586</oldFormula>
  </rdn>
  <rcv guid="{629918FE-B1DF-464A-BF50-03D18729BC02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7" sId="1" xfDxf="1" dxf="1">
    <oc r="A464" t="inlineStr">
      <is>
        <t>Прочая закупка товаров, работ и услуг для обеспечения государственных (муниципальных) нужд</t>
      </is>
    </oc>
    <nc r="A464" t="inlineStr">
      <is>
        <t>Иные выплаты населению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8" sId="1" numFmtId="4">
    <oc r="F49">
      <v>1934.64662</v>
    </oc>
    <nc r="F49">
      <v>1932.25883</v>
    </nc>
  </rcc>
  <rcc rId="1909" sId="1" numFmtId="4">
    <oc r="F52">
      <v>111.83953</v>
    </oc>
    <nc r="F52">
      <v>114.22732000000001</v>
    </nc>
  </rcc>
  <rcc rId="1910" sId="1" numFmtId="4">
    <oc r="F75">
      <v>1588.8</v>
    </oc>
    <nc r="F75">
      <v>3044.2</v>
    </nc>
  </rcc>
  <rcc rId="1911" sId="1" numFmtId="4">
    <oc r="F76">
      <v>479.77</v>
    </oc>
    <nc r="F76">
      <v>919.34</v>
    </nc>
  </rcc>
  <rcc rId="1912" sId="1" numFmtId="4">
    <oc r="F123">
      <v>215.9</v>
    </oc>
    <nc r="F123">
      <v>340.5</v>
    </nc>
  </rcc>
  <rcc rId="1913" sId="1" numFmtId="4">
    <oc r="F124">
      <v>65.17</v>
    </oc>
    <nc r="F124">
      <v>102.77</v>
    </nc>
  </rcc>
  <rrc rId="1914" sId="1" ref="A216:XFD216" action="insertRow"/>
  <rfmt sheetId="1" sqref="A216" start="0" length="0">
    <dxf>
      <font>
        <i val="0"/>
        <name val="Times New Roman"/>
        <family val="1"/>
      </font>
      <alignment horizontal="left"/>
    </dxf>
  </rfmt>
  <rcc rId="1915" sId="1" odxf="1" dxf="1">
    <nc r="B21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16" sId="1" odxf="1" dxf="1">
    <nc r="C21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17" sId="1" odxf="1" dxf="1">
    <nc r="D216" t="inlineStr">
      <is>
        <t>03002 S2610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6" start="0" length="0">
    <dxf>
      <font>
        <i val="0"/>
        <name val="Times New Roman"/>
        <family val="1"/>
      </font>
    </dxf>
  </rfmt>
  <rfmt sheetId="1" sqref="F216" start="0" length="0">
    <dxf>
      <font>
        <i val="0"/>
        <name val="Times New Roman"/>
        <family val="1"/>
      </font>
    </dxf>
  </rfmt>
  <rcc rId="1918" sId="1">
    <nc r="E216" t="inlineStr">
      <is>
        <t>244</t>
      </is>
    </nc>
  </rcc>
  <rcc rId="1919" sId="1" numFmtId="4">
    <nc r="F216">
      <v>460</v>
    </nc>
  </rcc>
  <rcc rId="1920" sId="1">
    <oc r="F215">
      <f>F217</f>
    </oc>
    <nc r="F215">
      <f>F216+F217</f>
    </nc>
  </rcc>
  <rcc rId="1921" sId="1" odxf="1" dxf="1">
    <nc r="A216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1922" sId="1" numFmtId="4">
    <oc r="F299">
      <v>58922.742109999999</v>
    </oc>
    <nc r="F299">
      <v>58068.067779999998</v>
    </nc>
  </rcc>
  <rcc rId="1923" sId="1" numFmtId="4">
    <oc r="F572">
      <f>20000+1004.3</f>
    </oc>
    <nc r="F572">
      <v>22334.3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cc rId="4891" sId="1" odxf="1">
    <oc r="F7" t="inlineStr">
      <is>
        <t>от "___" декабря 2022 № ___</t>
      </is>
    </oc>
    <nc r="F7" t="inlineStr">
      <is>
        <t>от "23" декабря 2022 № 227</t>
      </is>
    </nc>
    <odxf/>
  </rc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23" sId="1" ref="A457:XFD457" action="insertRow"/>
  <rrc rId="724" sId="1" ref="A457:XFD457" action="insertRow"/>
  <rcc rId="725" sId="1">
    <nc r="B457" t="inlineStr">
      <is>
        <t>11</t>
      </is>
    </nc>
  </rcc>
  <rcc rId="726" sId="1">
    <nc r="C457" t="inlineStr">
      <is>
        <t>02</t>
      </is>
    </nc>
  </rcc>
  <rcc rId="727" sId="1">
    <nc r="B458" t="inlineStr">
      <is>
        <t>11</t>
      </is>
    </nc>
  </rcc>
  <rcc rId="728" sId="1">
    <nc r="C458" t="inlineStr">
      <is>
        <t>02</t>
      </is>
    </nc>
  </rcc>
  <rcc rId="729" sId="1">
    <nc r="D458" t="inlineStr">
      <is>
        <t>091P5 51390</t>
      </is>
    </nc>
  </rcc>
  <rcc rId="730" sId="1">
    <nc r="D457" t="inlineStr">
      <is>
        <t>091P5 00000</t>
      </is>
    </nc>
  </rcc>
  <rrc rId="731" sId="1" ref="A463:XFD463" action="insertRow"/>
  <rrc rId="732" sId="1" ref="A463:XFD463" action="insertRow"/>
  <rcc rId="733" sId="1">
    <nc r="B463" t="inlineStr">
      <is>
        <t>11</t>
      </is>
    </nc>
  </rcc>
  <rcc rId="734" sId="1">
    <nc r="C463" t="inlineStr">
      <is>
        <t>02</t>
      </is>
    </nc>
  </rcc>
  <rfmt sheetId="1" sqref="D463" start="0" length="0">
    <dxf>
      <font>
        <b/>
        <name val="Times New Roman"/>
        <scheme val="none"/>
      </font>
    </dxf>
  </rfmt>
  <rcc rId="735" sId="1">
    <nc r="D463" t="inlineStr">
      <is>
        <t>09400 00000</t>
      </is>
    </nc>
  </rcc>
  <rrc rId="736" sId="1" ref="A464:XFD464" action="insertRow"/>
  <rcc rId="737" sId="1">
    <nc r="D464" t="inlineStr">
      <is>
        <t>094P5 00000</t>
      </is>
    </nc>
  </rcc>
  <rcc rId="738" sId="1" odxf="1" dxf="1">
    <nc r="D465" t="inlineStr">
      <is>
        <t>091P5 51390</t>
      </is>
    </nc>
    <odxf>
      <font>
        <i/>
        <name val="Times New Roman"/>
        <scheme val="none"/>
      </font>
      <fill>
        <patternFill patternType="solid">
          <bgColor indexed="9"/>
        </patternFill>
      </fill>
    </odxf>
    <ndxf>
      <font>
        <i val="0"/>
        <name val="Times New Roman"/>
        <scheme val="none"/>
      </font>
      <fill>
        <patternFill patternType="none">
          <bgColor indexed="65"/>
        </patternFill>
      </fill>
    </ndxf>
  </rcc>
  <rfmt sheetId="1" sqref="D464" start="0" length="2147483647">
    <dxf>
      <font>
        <b val="0"/>
      </font>
    </dxf>
  </rfmt>
  <rfmt sheetId="1" sqref="D465" start="0" length="2147483647">
    <dxf>
      <font>
        <i/>
      </font>
    </dxf>
  </rfmt>
  <rrc rId="739" sId="1" ref="A457:XFD457" action="deleteRow">
    <rfmt sheetId="1" xfDxf="1" sqref="A457:XFD457" start="0" length="0">
      <dxf>
        <font>
          <name val="Times New Roman CYR"/>
          <scheme val="none"/>
        </font>
        <alignment wrapText="1" readingOrder="0"/>
      </dxf>
    </rfmt>
    <rfmt sheetId="1" sqref="A457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57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091P5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40" sId="1" ref="A457:XFD457" action="deleteRow">
    <rfmt sheetId="1" xfDxf="1" sqref="A457:XFD457" start="0" length="0">
      <dxf>
        <font>
          <name val="Times New Roman CYR"/>
          <scheme val="none"/>
        </font>
        <alignment wrapText="1" readingOrder="0"/>
      </dxf>
    </rfmt>
    <rfmt sheetId="1" sqref="A457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57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091P5 51390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41" sId="1">
    <nc r="B462" t="inlineStr">
      <is>
        <t>11</t>
      </is>
    </nc>
  </rcc>
  <rcc rId="742" sId="1">
    <nc r="C462" t="inlineStr">
      <is>
        <t>02</t>
      </is>
    </nc>
  </rcc>
  <rcc rId="743" sId="1">
    <nc r="B463" t="inlineStr">
      <is>
        <t>11</t>
      </is>
    </nc>
  </rcc>
  <rcc rId="744" sId="1">
    <nc r="C463" t="inlineStr">
      <is>
        <t>02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 numFmtId="4">
    <oc r="F52">
      <v>1932.25883</v>
    </oc>
    <nc r="F52">
      <v>1881.19831</v>
    </nc>
  </rcc>
  <rcc rId="1933" sId="1" numFmtId="4">
    <oc r="F54">
      <v>253.80538999999999</v>
    </oc>
    <nc r="F54">
      <v>285.94585000000001</v>
    </nc>
  </rcc>
  <rcc rId="1934" sId="1" numFmtId="4">
    <oc r="F55">
      <v>114.22732000000001</v>
    </oc>
    <nc r="F55">
      <v>133.14738</v>
    </nc>
  </rcc>
  <rcc rId="1935" sId="1" numFmtId="4">
    <oc r="F86">
      <v>277</v>
    </oc>
    <nc r="F86">
      <v>265</v>
    </nc>
  </rcc>
  <rcc rId="1936" sId="1" numFmtId="4">
    <oc r="F162">
      <v>123</v>
    </oc>
    <nc r="F162">
      <v>125</v>
    </nc>
  </rcc>
  <rcc rId="1937" sId="1">
    <oc r="E220" t="inlineStr">
      <is>
        <t>540</t>
      </is>
    </oc>
    <nc r="E220" t="inlineStr">
      <is>
        <t>622</t>
      </is>
    </nc>
  </rcc>
  <rfmt sheetId="1" sqref="A220">
    <dxf>
      <fill>
        <patternFill patternType="solid">
          <bgColor rgb="FFFFFF00"/>
        </patternFill>
      </fill>
    </dxf>
  </rfmt>
  <rcc rId="1938" sId="1" numFmtId="4">
    <oc r="F302">
      <v>58068.067779999998</v>
    </oc>
    <nc r="F302">
      <v>57059.067779999998</v>
    </nc>
  </rcc>
  <rcc rId="1939" sId="1" odxf="1" dxf="1">
    <oc r="A220" t="inlineStr">
      <is>
        <t>Иные межбюджетные трансферты</t>
      </is>
    </oc>
    <nc r="A220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>
          <bgColor rgb="FFFFFF00"/>
        </patternFill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  <border outline="0">
        <left style="medium">
          <color indexed="64"/>
        </left>
      </border>
    </ndxf>
  </rcc>
  <rcc rId="1940" sId="1">
    <oc r="D421" t="inlineStr">
      <is>
        <t>08101 L5190</t>
      </is>
    </oc>
    <nc r="D421" t="inlineStr">
      <is>
        <t>08101 R5190</t>
      </is>
    </nc>
  </rcc>
  <rcc rId="1941" sId="1">
    <oc r="D420" t="inlineStr">
      <is>
        <t>08101 L5190</t>
      </is>
    </oc>
    <nc r="D420" t="inlineStr">
      <is>
        <t>08101 R5190</t>
      </is>
    </nc>
  </rcc>
  <rcc rId="1942" sId="1" numFmtId="4">
    <oc r="F510">
      <v>375.53699999999998</v>
    </oc>
    <nc r="F510">
      <v>372.03699999999998</v>
    </nc>
  </rcc>
  <rcc rId="1943" sId="1" numFmtId="4">
    <oc r="F550">
      <v>97.498999999999995</v>
    </oc>
    <nc r="F550">
      <v>100.999</v>
    </nc>
  </rcc>
  <rcc rId="1944" sId="1" numFmtId="4">
    <oc r="F551">
      <v>4.13</v>
    </oc>
    <nc r="F551">
      <v>3.7444600000000001</v>
    </nc>
  </rcc>
  <rcc rId="1945" sId="1" numFmtId="4">
    <oc r="F575">
      <v>22334.3</v>
    </oc>
    <nc r="F575">
      <v>23176.3</v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46" sId="1" numFmtId="4">
    <oc r="F585">
      <v>1992462.26195</v>
    </oc>
    <nc r="F585">
      <v>1998296.75762</v>
    </nc>
  </rcc>
  <rrc rId="1947" sId="1" ref="A524:XFD524" action="insertRow"/>
  <rrc rId="1948" sId="1" ref="A524:XFD524" action="insertRow"/>
  <rrc rId="1949" sId="1" ref="A554:XFD554" action="insertRow"/>
  <rcc rId="1950" sId="1">
    <nc r="A554" t="inlineStr">
      <is>
        <t xml:space="preserve">Уплата прочих налогов, сборов </t>
      </is>
    </nc>
  </rcc>
  <rcc rId="1951" sId="1">
    <nc r="B554" t="inlineStr">
      <is>
        <t>11</t>
      </is>
    </nc>
  </rcc>
  <rcc rId="1952" sId="1">
    <nc r="C554" t="inlineStr">
      <is>
        <t>05</t>
      </is>
    </nc>
  </rcc>
  <rcc rId="1953" sId="1">
    <nc r="D554" t="inlineStr">
      <is>
        <t>09401 83170</t>
      </is>
    </nc>
  </rcc>
  <rcc rId="1954" sId="1">
    <nc r="E554" t="inlineStr">
      <is>
        <t>853</t>
      </is>
    </nc>
  </rcc>
  <rcc rId="1955" sId="1" numFmtId="4">
    <nc r="F554">
      <v>0.38553999999999999</v>
    </nc>
  </rcc>
  <rcc rId="1956" sId="1">
    <oc r="F548">
      <f>SUM(F549:F553)</f>
    </oc>
    <nc r="F548">
      <f>SUM(F549:F554)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524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1957" sId="1" odxf="1" dxf="1">
    <nc r="B52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958" sId="1" odxf="1" dxf="1">
    <nc r="C52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24" start="0" length="0">
    <dxf>
      <font>
        <i/>
        <name val="Times New Roman"/>
        <family val="1"/>
      </font>
    </dxf>
  </rfmt>
  <rfmt sheetId="1" sqref="E524" start="0" length="0">
    <dxf>
      <font>
        <i/>
        <name val="Times New Roman"/>
        <family val="1"/>
      </font>
    </dxf>
  </rfmt>
  <rcc rId="1959" sId="1" odxf="1" dxf="1">
    <nc r="F524">
      <f>F525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960" sId="1">
    <nc r="B525" t="inlineStr">
      <is>
        <t>11</t>
      </is>
    </nc>
  </rcc>
  <rcc rId="1961" sId="1">
    <nc r="C525" t="inlineStr">
      <is>
        <t>02</t>
      </is>
    </nc>
  </rcc>
  <rcc rId="1962" sId="1">
    <nc r="D525" t="inlineStr">
      <is>
        <t>99900 86000</t>
      </is>
    </nc>
  </rcc>
  <rcc rId="1963" sId="1">
    <nc r="D524" t="inlineStr">
      <is>
        <t>99900 86000</t>
      </is>
    </nc>
  </rcc>
  <rcc rId="1964" sId="1">
    <nc r="E525" t="inlineStr">
      <is>
        <t>113</t>
      </is>
    </nc>
  </rcc>
  <rcc rId="1965" sId="1" numFmtId="4">
    <nc r="F525">
      <v>10</v>
    </nc>
  </rcc>
  <rcc rId="1966" sId="1" odxf="1" dxf="1">
    <nc r="A524" t="inlineStr">
      <is>
        <t xml:space="preserve">Резервные фонды местных администраций
</t>
      </is>
    </nc>
    <ndxf>
      <font>
        <color indexed="8"/>
        <name val="Times New Roman"/>
        <family val="1"/>
      </font>
      <alignment horizontal="left" vertical="center"/>
    </ndxf>
  </rcc>
  <rcc rId="1967" sId="1">
    <oc r="F521">
      <f>F522</f>
    </oc>
    <nc r="F521">
      <f>F522+F524</f>
    </nc>
  </rcc>
  <rcc rId="1968" sId="1" xfDxf="1" dxf="1">
    <nc r="A525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функцион.структура!$A$4:$F$586</formula>
    <oldFormula>функцион.структура!$A$4:$F$586</oldFormula>
  </rdn>
  <rdn rId="0" localSheetId="1" customView="1" name="Z_629918FE_B1DF_464A_BF50_03D18729BC02_.wvu.FilterData" hidden="1" oldHidden="1">
    <formula>функцион.структура!$A$20:$F$593</formula>
    <oldFormula>функцион.структура!$A$20:$F$593</oldFormula>
  </rdn>
  <rcv guid="{629918FE-B1DF-464A-BF50-03D18729BC02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1" sId="1" numFmtId="4">
    <oc r="F302">
      <v>57059.067779999998</v>
    </oc>
    <nc r="F302">
      <f>57059.06778+3009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2" sId="1" numFmtId="4">
    <oc r="F201">
      <v>983.3</v>
    </oc>
    <nc r="F201">
      <v>5</v>
    </nc>
  </rcc>
  <rcc rId="1973" sId="1">
    <oc r="F302">
      <f>57059.06778+3009</f>
    </oc>
    <nc r="F302">
      <f>57059.06778+3009+978.3</f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функцион.структура!$A$5:$F$523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">
    <dxf>
      <alignment horizontal="right" readingOrder="0"/>
    </dxf>
  </rfmt>
  <rcc rId="1974" sId="1">
    <oc r="F3" t="inlineStr">
      <is>
        <t>от "___" апреля 2022  № ____</t>
      </is>
    </oc>
    <nc r="F3" t="inlineStr">
      <is>
        <t>от "27" апреля 2022  № 184</t>
      </is>
    </nc>
  </rcc>
  <rcv guid="{2DDB525D-A756-4AF2-961D-1A48B45E104D}" action="delete"/>
  <rdn rId="0" localSheetId="1" customView="1" name="Z_2DDB525D_A756_4AF2_961D_1A48B45E104D_.wvu.PrintArea" hidden="1" oldHidden="1">
    <formula>функцион.структура!$A$1:$F$586</formula>
    <oldFormula>функцион.структура!$A$4:$F$586</oldFormula>
  </rdn>
  <rdn rId="0" localSheetId="1" customView="1" name="Z_2DDB525D_A756_4AF2_961D_1A48B45E104D_.wvu.FilterData" hidden="1" oldHidden="1">
    <formula>функцион.структура!$A$20:$F$593</formula>
    <oldFormula>функцион.структура!$A$20:$F$593</oldFormula>
  </rdn>
  <rcv guid="{2DDB525D-A756-4AF2-961D-1A48B45E104D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2309" sId="1">
    <oc r="F3" t="inlineStr">
      <is>
        <t>от "__" июля 2022  № ____</t>
      </is>
    </oc>
    <nc r="F3" t="inlineStr">
      <is>
        <t>от "22" июля 2022  №202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7" sId="1" numFmtId="4">
    <oc r="F52">
      <v>1881.19831</v>
    </oc>
    <nc r="F52">
      <v>1862.1452400000001</v>
    </nc>
  </rcc>
  <rcc rId="1978" sId="1" numFmtId="4">
    <oc r="F55">
      <v>133.14738</v>
    </oc>
    <nc r="F55">
      <v>139.64938000000001</v>
    </nc>
  </rcc>
  <rcc rId="1979" sId="1" numFmtId="4">
    <oc r="F57">
      <v>101.31437</v>
    </oc>
    <nc r="F57">
      <v>97.814369999999997</v>
    </nc>
  </rcc>
</revisions>
</file>

<file path=xl/revisions/revisionLog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0" sId="1" ref="A76:XFD76" action="insertRow"/>
  <rcc rId="1981" sId="1" odxf="1" dxf="1">
    <nc r="A76" t="inlineStr">
      <is>
        <t>Муниципальная Программа «Развитие муниципальной службы в Селенгинском районе на 2020 - 2024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982" sId="1" odxf="1" dxf="1">
    <nc r="B7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76" start="0" length="0">
    <dxf>
      <font>
        <b/>
        <name val="Times New Roman"/>
        <family val="1"/>
      </font>
    </dxf>
  </rfmt>
  <rcc rId="1983" sId="1" odxf="1" dxf="1">
    <nc r="D76" t="inlineStr">
      <is>
        <t>01000 00000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6" start="0" length="0">
    <dxf>
      <font>
        <b/>
        <name val="Times New Roman"/>
        <family val="1"/>
      </font>
    </dxf>
  </rfmt>
  <rfmt sheetId="1" sqref="F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G76" start="0" length="0">
    <dxf>
      <font>
        <i val="0"/>
        <name val="Times New Roman CYR"/>
        <family val="1"/>
      </font>
    </dxf>
  </rfmt>
  <rfmt sheetId="1" sqref="H76" start="0" length="0">
    <dxf>
      <font>
        <i val="0"/>
        <name val="Times New Roman CYR"/>
        <family val="1"/>
      </font>
    </dxf>
  </rfmt>
  <rfmt sheetId="1" sqref="I76" start="0" length="0">
    <dxf>
      <font>
        <i val="0"/>
        <name val="Times New Roman CYR"/>
        <family val="1"/>
      </font>
    </dxf>
  </rfmt>
  <rfmt sheetId="1" sqref="J76" start="0" length="0">
    <dxf>
      <font>
        <i val="0"/>
        <name val="Times New Roman CYR"/>
        <family val="1"/>
      </font>
    </dxf>
  </rfmt>
  <rfmt sheetId="1" sqref="K76" start="0" length="0">
    <dxf>
      <font>
        <i val="0"/>
        <name val="Times New Roman CYR"/>
        <family val="1"/>
      </font>
    </dxf>
  </rfmt>
  <rfmt sheetId="1" sqref="L76" start="0" length="0">
    <dxf>
      <font>
        <i val="0"/>
        <name val="Times New Roman CYR"/>
        <family val="1"/>
      </font>
    </dxf>
  </rfmt>
  <rfmt sheetId="1" sqref="M76" start="0" length="0">
    <dxf>
      <font>
        <i val="0"/>
        <name val="Times New Roman CYR"/>
        <family val="1"/>
      </font>
    </dxf>
  </rfmt>
  <rfmt sheetId="1" sqref="N76" start="0" length="0">
    <dxf>
      <font>
        <i val="0"/>
        <name val="Times New Roman CYR"/>
        <family val="1"/>
      </font>
    </dxf>
  </rfmt>
  <rfmt sheetId="1" sqref="O76" start="0" length="0">
    <dxf>
      <font>
        <i val="0"/>
        <name val="Times New Roman CYR"/>
        <family val="1"/>
      </font>
    </dxf>
  </rfmt>
  <rfmt sheetId="1" sqref="A76:XFD76" start="0" length="0">
    <dxf>
      <font>
        <i val="0"/>
        <name val="Times New Roman CYR"/>
        <family val="1"/>
      </font>
    </dxf>
  </rfmt>
  <rcc rId="1984" sId="1">
    <nc r="C76" t="inlineStr">
      <is>
        <t>06</t>
      </is>
    </nc>
  </rcc>
  <rrc rId="1985" sId="1" ref="A77:XFD79" action="insertRow"/>
  <rcc rId="1986" sId="1" odxf="1" dxf="1">
    <nc r="A7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87" sId="1" odxf="1" dxf="1">
    <nc r="B77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77" start="0" length="0">
    <dxf>
      <font>
        <b val="0"/>
        <i/>
        <name val="Times New Roman"/>
        <family val="1"/>
      </font>
    </dxf>
  </rfmt>
  <rcc rId="1988" sId="1" odxf="1" dxf="1">
    <nc r="D77" t="inlineStr">
      <is>
        <t xml:space="preserve">01002 00000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7" start="0" length="0">
    <dxf>
      <font>
        <b val="0"/>
        <i/>
        <name val="Times New Roman"/>
        <family val="1"/>
      </font>
    </dxf>
  </rfmt>
  <rcc rId="1989" sId="1" odxf="1" dxf="1">
    <nc r="F77">
      <f>F78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990" sId="1" odxf="1" dxf="1">
    <nc r="A7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alignment horizontal="general"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1" sId="1" odxf="1" dxf="1">
    <nc r="B7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78" start="0" length="0">
    <dxf>
      <font>
        <b val="0"/>
        <i/>
        <name val="Times New Roman"/>
        <family val="1"/>
      </font>
    </dxf>
  </rfmt>
  <rcc rId="1992" sId="1" odxf="1" dxf="1">
    <nc r="D78" t="inlineStr">
      <is>
        <t>01002 S2870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8" start="0" length="0">
    <dxf>
      <font>
        <b val="0"/>
        <i/>
        <name val="Times New Roman"/>
        <family val="1"/>
      </font>
    </dxf>
  </rfmt>
  <rfmt sheetId="1" sqref="F78" start="0" length="0">
    <dxf>
      <font>
        <b val="0"/>
        <i/>
        <name val="Times New Roman"/>
        <family val="1"/>
      </font>
    </dxf>
  </rfmt>
  <rfmt sheetId="1" sqref="G78" start="0" length="0">
    <dxf>
      <font>
        <i/>
        <name val="Times New Roman CYR"/>
        <family val="1"/>
      </font>
    </dxf>
  </rfmt>
  <rfmt sheetId="1" sqref="H78" start="0" length="0">
    <dxf>
      <font>
        <i/>
        <name val="Times New Roman CYR"/>
        <family val="1"/>
      </font>
      <numFmt numFmtId="165" formatCode="0.00000"/>
    </dxf>
  </rfmt>
  <rfmt sheetId="1" sqref="I78" start="0" length="0">
    <dxf>
      <font>
        <i/>
        <name val="Times New Roman CYR"/>
        <family val="1"/>
      </font>
    </dxf>
  </rfmt>
  <rfmt sheetId="1" sqref="J78" start="0" length="0">
    <dxf>
      <font>
        <i/>
        <name val="Times New Roman CYR"/>
        <family val="1"/>
      </font>
    </dxf>
  </rfmt>
  <rfmt sheetId="1" sqref="K78" start="0" length="0">
    <dxf>
      <font>
        <i/>
        <name val="Times New Roman CYR"/>
        <family val="1"/>
      </font>
    </dxf>
  </rfmt>
  <rfmt sheetId="1" sqref="L78" start="0" length="0">
    <dxf>
      <font>
        <i/>
        <name val="Times New Roman CYR"/>
        <family val="1"/>
      </font>
    </dxf>
  </rfmt>
  <rfmt sheetId="1" sqref="M78" start="0" length="0">
    <dxf>
      <font>
        <i/>
        <name val="Times New Roman CYR"/>
        <family val="1"/>
      </font>
    </dxf>
  </rfmt>
  <rfmt sheetId="1" sqref="N78" start="0" length="0">
    <dxf>
      <font>
        <i/>
        <name val="Times New Roman CYR"/>
        <family val="1"/>
      </font>
    </dxf>
  </rfmt>
  <rfmt sheetId="1" sqref="O78" start="0" length="0">
    <dxf>
      <font>
        <i/>
        <name val="Times New Roman CYR"/>
        <family val="1"/>
      </font>
    </dxf>
  </rfmt>
  <rfmt sheetId="1" sqref="A78:XFD78" start="0" length="0">
    <dxf>
      <font>
        <i/>
        <name val="Times New Roman CYR"/>
        <family val="1"/>
      </font>
    </dxf>
  </rfmt>
  <rcc rId="1993" sId="1" odxf="1" dxf="1">
    <nc r="A7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4" sId="1" odxf="1" dxf="1">
    <nc r="B7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79" start="0" length="0">
    <dxf>
      <font>
        <b val="0"/>
        <name val="Times New Roman"/>
        <family val="1"/>
      </font>
    </dxf>
  </rfmt>
  <rcc rId="1995" sId="1" odxf="1" dxf="1">
    <nc r="D79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996" sId="1" odxf="1" dxf="1">
    <nc r="E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79" start="0" length="0">
    <dxf>
      <font>
        <b val="0"/>
        <name val="Times New Roman"/>
        <family val="1"/>
      </font>
    </dxf>
  </rfmt>
  <rcc rId="1997" sId="1">
    <nc r="C77" t="inlineStr">
      <is>
        <t>06</t>
      </is>
    </nc>
  </rcc>
  <rcc rId="1998" sId="1">
    <nc r="C78" t="inlineStr">
      <is>
        <t>06</t>
      </is>
    </nc>
  </rcc>
  <rcc rId="1999" sId="1">
    <nc r="C79" t="inlineStr">
      <is>
        <t>06</t>
      </is>
    </nc>
  </rcc>
  <rcc rId="2000" sId="1" numFmtId="4">
    <nc r="F79">
      <v>20</v>
    </nc>
  </rcc>
  <rcc rId="2001" sId="1">
    <nc r="F78">
      <f>F79</f>
    </nc>
  </rcc>
  <rcc rId="2002" sId="1">
    <nc r="F76">
      <f>F77</f>
    </nc>
  </rcc>
  <rcc rId="2003" sId="1">
    <oc r="F66">
      <f>F67+F80</f>
    </oc>
    <nc r="F66">
      <f>F67+F80+F76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04" sId="1" ref="A67:XFD70" action="insertRow"/>
  <rm rId="2005" sheetId="1" source="A80:XFD83" destination="A67:XFD70" sourceSheetId="1">
    <rfmt sheetId="1" xfDxf="1" sqref="A67:XFD67" start="0" length="0">
      <dxf>
        <font>
          <name val="Times New Roman CYR"/>
          <family val="1"/>
        </font>
        <alignment wrapText="1"/>
      </dxf>
    </rfmt>
    <rfmt sheetId="1" xfDxf="1" sqref="A68:XFD68" start="0" length="0">
      <dxf>
        <font>
          <name val="Times New Roman CYR"/>
          <family val="1"/>
        </font>
        <alignment wrapText="1"/>
      </dxf>
    </rfmt>
    <rfmt sheetId="1" xfDxf="1" sqref="A69:XFD69" start="0" length="0">
      <dxf>
        <font>
          <name val="Times New Roman CYR"/>
          <family val="1"/>
        </font>
        <alignment wrapText="1"/>
      </dxf>
    </rfmt>
    <rfmt sheetId="1" xfDxf="1" sqref="A70:XFD70" start="0" length="0">
      <dxf>
        <font>
          <name val="Times New Roman CYR"/>
          <family val="1"/>
        </font>
        <alignment wrapText="1"/>
      </dxf>
    </rfmt>
    <rfmt sheetId="1" sqref="A6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06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7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8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9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cc rId="2010" sId="1" numFmtId="4">
    <oc r="F90">
      <v>265</v>
    </oc>
    <nc r="F90">
      <v>60</v>
    </nc>
  </rcc>
  <rcc rId="2011" sId="1" numFmtId="4">
    <oc r="F98">
      <v>358</v>
    </oc>
    <nc r="F98">
      <v>245</v>
    </nc>
  </rcc>
  <rcc rId="2012" sId="1" numFmtId="4">
    <oc r="F101">
      <v>41</v>
    </oc>
    <nc r="F101">
      <v>23</v>
    </nc>
  </rcc>
  <rcc rId="2013" sId="1" numFmtId="4">
    <oc r="F107">
      <v>0.96</v>
    </oc>
    <nc r="F107">
      <v>2.4</v>
    </nc>
  </rcc>
  <rcc rId="2014" sId="1" numFmtId="4">
    <oc r="F108">
      <v>1244.08746</v>
    </oc>
    <nc r="F108">
      <v>754.00331000000006</v>
    </nc>
  </rcc>
  <rcc rId="2015" sId="1">
    <oc r="D111" t="inlineStr">
      <is>
        <t>04102 82100</t>
      </is>
    </oc>
    <nc r="D111" t="inlineStr">
      <is>
        <t>04102 82150</t>
      </is>
    </nc>
  </rcc>
  <rcc rId="2016" sId="1">
    <oc r="D112" t="inlineStr">
      <is>
        <t>04102 82100</t>
      </is>
    </oc>
    <nc r="D112" t="inlineStr">
      <is>
        <t>04102 82150</t>
      </is>
    </nc>
  </rcc>
  <rcc rId="2017" sId="1" numFmtId="4">
    <oc r="F111">
      <v>176.251</v>
    </oc>
    <nc r="F111">
      <v>183.989</v>
    </nc>
  </rcc>
  <rcc rId="2018" sId="1" numFmtId="4">
    <oc r="F112">
      <v>32.033279999999998</v>
    </oc>
    <nc r="F112">
      <v>37.033279999999998</v>
    </nc>
  </rcc>
  <rcc rId="2019" sId="1" numFmtId="4">
    <oc r="F115">
      <v>487.16500000000002</v>
    </oc>
    <nc r="F115">
      <v>472.98700000000002</v>
    </nc>
  </rcc>
  <rcc rId="2020" sId="1" numFmtId="4">
    <oc r="F127">
      <v>200</v>
    </oc>
    <nc r="F127">
      <v>880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функцион.структура!$A$4:$F$590</formula>
    <oldFormula>функцион.структура!$A$4:$F$590</oldFormula>
  </rdn>
  <rdn rId="0" localSheetId="1" customView="1" name="Z_629918FE_B1DF_464A_BF50_03D18729BC02_.wvu.FilterData" hidden="1" oldHidden="1">
    <formula>функцион.структура!$A$20:$F$597</formula>
    <oldFormula>функцион.структура!$A$20:$F$597</oldFormula>
  </rdn>
  <rcv guid="{629918FE-B1DF-464A-BF50-03D18729BC02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23" sId="1" numFmtId="4">
    <oc r="F157">
      <v>150</v>
    </oc>
    <nc r="F157">
      <v>151.69499999999999</v>
    </nc>
  </rcc>
  <rcc rId="2024" sId="1" numFmtId="4">
    <oc r="F158">
      <v>3016.9250000000002</v>
    </oc>
    <nc r="F158">
      <v>3015.23</v>
    </nc>
  </rcc>
  <rcc rId="2025" sId="1" numFmtId="4">
    <oc r="F160">
      <f>4961.4162+63.7+63.7+100</f>
    </oc>
    <nc r="F160">
      <v>5408.8162000000002</v>
    </nc>
  </rcc>
  <rcc rId="2026" sId="1" numFmtId="4">
    <oc r="F166">
      <v>125</v>
    </oc>
    <nc r="F166">
      <v>285</v>
    </nc>
  </rcc>
  <rfmt sheetId="1" sqref="F169" start="0" length="2147483647">
    <dxf>
      <font>
        <i/>
      </font>
    </dxf>
  </rfmt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5" sId="1" numFmtId="4">
    <oc r="F128">
      <v>104.39</v>
    </oc>
    <nc r="F128">
      <v>104.4</v>
    </nc>
  </rcc>
  <rcc rId="746" sId="1" numFmtId="4">
    <oc r="F127">
      <v>345.7</v>
    </oc>
    <nc r="F127">
      <v>345.69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функцион.структура!$A$2:$F$504</formula>
    <oldFormula>функцион.структура!$A$2:$F$504</oldFormula>
  </rdn>
  <rdn rId="0" localSheetId="1" customView="1" name="Z_629918FE_B1DF_464A_BF50_03D18729BC02_.wvu.FilterData" hidden="1" oldHidden="1">
    <formula>функцион.структура!$A$17:$K$511</formula>
    <oldFormula>функцион.структура!$A$17:$K$511</oldFormula>
  </rdn>
  <rcv guid="{629918FE-B1DF-464A-BF50-03D18729BC02}" action="add"/>
</revisions>
</file>

<file path=xl/revisions/revisionLog1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27" sId="1" ref="A177:XFD177" action="insertRow"/>
  <rcc rId="2028" sId="1" odxf="1" dxf="1">
    <nc r="A17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29" sId="1" odxf="1" dxf="1">
    <nc r="B17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0" sId="1" odxf="1" dxf="1">
    <nc r="C177" t="inlineStr">
      <is>
        <t>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1" sId="1" odxf="1" dxf="1">
    <nc r="D177" t="inlineStr">
      <is>
        <t>18002 82300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77" start="0" length="0">
    <dxf>
      <font>
        <i val="0"/>
        <name val="Times New Roman"/>
        <family val="1"/>
      </font>
    </dxf>
  </rfmt>
  <rfmt sheetId="1" sqref="F177" start="0" length="0">
    <dxf>
      <font>
        <i val="0"/>
        <name val="Times New Roman"/>
        <family val="1"/>
      </font>
    </dxf>
  </rfmt>
  <rcc rId="2032" sId="1">
    <nc r="E177" t="inlineStr">
      <is>
        <t>242</t>
      </is>
    </nc>
  </rcc>
  <rcc rId="2033" sId="1" numFmtId="4">
    <nc r="F177">
      <v>200</v>
    </nc>
  </rcc>
  <rcc rId="2034" sId="1" numFmtId="4">
    <oc r="F178">
      <v>1500</v>
    </oc>
    <nc r="F178">
      <v>1300</v>
    </nc>
  </rcc>
  <rcc rId="2035" sId="1">
    <oc r="F176">
      <f>F178</f>
    </oc>
    <nc r="F176">
      <f>F177+F178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>
    <oc r="A177" t="inlineStr">
      <is>
        <t>Прочие закупки товаров, работ и услуг для государственных (муниципальных) нужд</t>
      </is>
    </oc>
    <nc r="A177" t="inlineStr">
      <is>
        <t>Закупка товаров, работ и услуг в сфере информационно-коммуникационных технологий</t>
      </is>
    </nc>
  </rcc>
  <rrc rId="2037" sId="1" ref="A180:XFD183" action="insertRow"/>
  <rcc rId="2038" sId="1" odxf="1" dxf="1">
    <nc r="A180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180" start="0" length="0">
    <dxf>
      <fill>
        <patternFill patternType="none">
          <bgColor indexed="65"/>
        </patternFill>
      </fill>
    </dxf>
  </rfmt>
  <rfmt sheetId="1" sqref="C180" start="0" length="0">
    <dxf>
      <fill>
        <patternFill patternType="none">
          <bgColor indexed="65"/>
        </patternFill>
      </fill>
    </dxf>
  </rfmt>
  <rcc rId="2039" sId="1" odxf="1" dxf="1">
    <nc r="D180" t="inlineStr">
      <is>
        <t>01000 00000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0" start="0" length="0">
    <dxf>
      <fill>
        <patternFill patternType="none">
          <bgColor indexed="65"/>
        </patternFill>
      </fill>
    </dxf>
  </rfmt>
  <rcc rId="2040" sId="1" odxf="1" dxf="1">
    <nc r="F180">
      <f>F181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G180" start="0" length="0">
    <dxf>
      <font>
        <i val="0"/>
        <name val="Times New Roman CYR"/>
        <family val="1"/>
      </font>
    </dxf>
  </rfmt>
  <rfmt sheetId="1" sqref="H180" start="0" length="0">
    <dxf>
      <font>
        <i val="0"/>
        <name val="Times New Roman CYR"/>
        <family val="1"/>
      </font>
    </dxf>
  </rfmt>
  <rfmt sheetId="1" sqref="I180" start="0" length="0">
    <dxf>
      <font>
        <i val="0"/>
        <name val="Times New Roman CYR"/>
        <family val="1"/>
      </font>
    </dxf>
  </rfmt>
  <rfmt sheetId="1" sqref="J180" start="0" length="0">
    <dxf>
      <font>
        <i val="0"/>
        <name val="Times New Roman CYR"/>
        <family val="1"/>
      </font>
    </dxf>
  </rfmt>
  <rfmt sheetId="1" sqref="K180" start="0" length="0">
    <dxf>
      <font>
        <i val="0"/>
        <name val="Times New Roman CYR"/>
        <family val="1"/>
      </font>
    </dxf>
  </rfmt>
  <rfmt sheetId="1" sqref="L180" start="0" length="0">
    <dxf>
      <font>
        <i val="0"/>
        <name val="Times New Roman CYR"/>
        <family val="1"/>
      </font>
    </dxf>
  </rfmt>
  <rfmt sheetId="1" sqref="M180" start="0" length="0">
    <dxf>
      <font>
        <i val="0"/>
        <name val="Times New Roman CYR"/>
        <family val="1"/>
      </font>
    </dxf>
  </rfmt>
  <rfmt sheetId="1" sqref="N180" start="0" length="0">
    <dxf>
      <font>
        <i val="0"/>
        <name val="Times New Roman CYR"/>
        <family val="1"/>
      </font>
    </dxf>
  </rfmt>
  <rfmt sheetId="1" sqref="O180" start="0" length="0">
    <dxf>
      <font>
        <i val="0"/>
        <name val="Times New Roman CYR"/>
        <family val="1"/>
      </font>
    </dxf>
  </rfmt>
  <rfmt sheetId="1" sqref="A180:XFD180" start="0" length="0">
    <dxf>
      <font>
        <i val="0"/>
        <name val="Times New Roman CYR"/>
        <family val="1"/>
      </font>
    </dxf>
  </rfmt>
  <rfmt sheetId="1" sqref="A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41" sId="1" odxf="1" dxf="1">
    <nc r="F181">
      <f>F182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181" start="0" length="0">
    <dxf>
      <font>
        <i val="0"/>
        <name val="Times New Roman CYR"/>
        <family val="1"/>
      </font>
    </dxf>
  </rfmt>
  <rfmt sheetId="1" sqref="H181" start="0" length="0">
    <dxf>
      <font>
        <i val="0"/>
        <name val="Times New Roman CYR"/>
        <family val="1"/>
      </font>
    </dxf>
  </rfmt>
  <rfmt sheetId="1" sqref="I181" start="0" length="0">
    <dxf>
      <font>
        <i val="0"/>
        <name val="Times New Roman CYR"/>
        <family val="1"/>
      </font>
    </dxf>
  </rfmt>
  <rfmt sheetId="1" sqref="J181" start="0" length="0">
    <dxf>
      <font>
        <i val="0"/>
        <name val="Times New Roman CYR"/>
        <family val="1"/>
      </font>
    </dxf>
  </rfmt>
  <rfmt sheetId="1" sqref="K181" start="0" length="0">
    <dxf>
      <font>
        <i val="0"/>
        <name val="Times New Roman CYR"/>
        <family val="1"/>
      </font>
    </dxf>
  </rfmt>
  <rfmt sheetId="1" sqref="L181" start="0" length="0">
    <dxf>
      <font>
        <i val="0"/>
        <name val="Times New Roman CYR"/>
        <family val="1"/>
      </font>
    </dxf>
  </rfmt>
  <rfmt sheetId="1" sqref="M181" start="0" length="0">
    <dxf>
      <font>
        <i val="0"/>
        <name val="Times New Roman CYR"/>
        <family val="1"/>
      </font>
    </dxf>
  </rfmt>
  <rfmt sheetId="1" sqref="N181" start="0" length="0">
    <dxf>
      <font>
        <i val="0"/>
        <name val="Times New Roman CYR"/>
        <family val="1"/>
      </font>
    </dxf>
  </rfmt>
  <rfmt sheetId="1" sqref="O181" start="0" length="0">
    <dxf>
      <font>
        <i val="0"/>
        <name val="Times New Roman CYR"/>
        <family val="1"/>
      </font>
    </dxf>
  </rfmt>
  <rfmt sheetId="1" sqref="A181:XFD181" start="0" length="0">
    <dxf>
      <font>
        <i val="0"/>
        <name val="Times New Roman CYR"/>
        <family val="1"/>
      </font>
    </dxf>
  </rfmt>
  <rfmt sheetId="1" sqref="A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B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42" sId="1" odxf="1" dxf="1">
    <nc r="F182">
      <f>F183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182" start="0" length="0">
    <dxf>
      <numFmt numFmtId="165" formatCode="0.00000"/>
    </dxf>
  </rfmt>
  <rfmt sheetId="1" sqref="A183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043" sId="1" odxf="1" dxf="1">
    <nc r="E183" t="inlineStr">
      <is>
        <t>244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183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183" start="0" length="0">
    <dxf>
      <font>
        <i val="0"/>
        <name val="Times New Roman CYR"/>
        <family val="1"/>
      </font>
    </dxf>
  </rfmt>
  <rfmt sheetId="1" sqref="H183" start="0" length="0">
    <dxf>
      <font>
        <i val="0"/>
        <name val="Times New Roman CYR"/>
        <family val="1"/>
      </font>
    </dxf>
  </rfmt>
  <rfmt sheetId="1" sqref="I183" start="0" length="0">
    <dxf>
      <font>
        <i val="0"/>
        <name val="Times New Roman CYR"/>
        <family val="1"/>
      </font>
    </dxf>
  </rfmt>
  <rfmt sheetId="1" sqref="J183" start="0" length="0">
    <dxf>
      <font>
        <i val="0"/>
        <name val="Times New Roman CYR"/>
        <family val="1"/>
      </font>
    </dxf>
  </rfmt>
  <rfmt sheetId="1" sqref="K183" start="0" length="0">
    <dxf>
      <font>
        <i val="0"/>
        <name val="Times New Roman CYR"/>
        <family val="1"/>
      </font>
    </dxf>
  </rfmt>
  <rfmt sheetId="1" sqref="L183" start="0" length="0">
    <dxf>
      <font>
        <i val="0"/>
        <name val="Times New Roman CYR"/>
        <family val="1"/>
      </font>
    </dxf>
  </rfmt>
  <rfmt sheetId="1" sqref="M183" start="0" length="0">
    <dxf>
      <font>
        <i val="0"/>
        <name val="Times New Roman CYR"/>
        <family val="1"/>
      </font>
    </dxf>
  </rfmt>
  <rfmt sheetId="1" sqref="N183" start="0" length="0">
    <dxf>
      <font>
        <i val="0"/>
        <name val="Times New Roman CYR"/>
        <family val="1"/>
      </font>
    </dxf>
  </rfmt>
  <rfmt sheetId="1" sqref="O183" start="0" length="0">
    <dxf>
      <font>
        <i val="0"/>
        <name val="Times New Roman CYR"/>
        <family val="1"/>
      </font>
    </dxf>
  </rfmt>
  <rfmt sheetId="1" sqref="A183:XFD183" start="0" length="0">
    <dxf>
      <font>
        <i val="0"/>
        <name val="Times New Roman CYR"/>
        <family val="1"/>
      </font>
    </dxf>
  </rfmt>
  <rcc rId="2044" sId="1">
    <nc r="B180" t="inlineStr">
      <is>
        <t>04</t>
      </is>
    </nc>
  </rcc>
  <rcc rId="2045" sId="1">
    <nc r="C180" t="inlineStr">
      <is>
        <t>05</t>
      </is>
    </nc>
  </rcc>
  <rcc rId="2046" sId="1">
    <nc r="B181" t="inlineStr">
      <is>
        <t>04</t>
      </is>
    </nc>
  </rcc>
  <rcc rId="2047" sId="1">
    <nc r="C181" t="inlineStr">
      <is>
        <t>05</t>
      </is>
    </nc>
  </rcc>
  <rcc rId="2048" sId="1">
    <nc r="B182" t="inlineStr">
      <is>
        <t>04</t>
      </is>
    </nc>
  </rcc>
  <rcc rId="2049" sId="1">
    <nc r="C182" t="inlineStr">
      <is>
        <t>05</t>
      </is>
    </nc>
  </rcc>
  <rcc rId="2050" sId="1">
    <nc r="B183" t="inlineStr">
      <is>
        <t>04</t>
      </is>
    </nc>
  </rcc>
  <rcc rId="2051" sId="1">
    <nc r="C183" t="inlineStr">
      <is>
        <t>05</t>
      </is>
    </nc>
  </rcc>
  <rcc rId="2052" sId="1" numFmtId="4">
    <nc r="F183">
      <v>18</v>
    </nc>
  </rcc>
  <rrc rId="2053" sId="1" ref="A180:XFD180" action="insertRow"/>
  <rm rId="2054" sheetId="1" source="A185:XFD185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</dxf>
    </rfmt>
    <rfmt sheetId="1" sqref="B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55" sId="1" ref="A185:XFD185" action="deleteRow">
    <rfmt sheetId="1" xfDxf="1" sqref="A185:XFD185" start="0" length="0">
      <dxf>
        <font>
          <name val="Times New Roman CYR"/>
          <family val="1"/>
        </font>
        <alignment wrapText="1"/>
      </dxf>
    </rfmt>
  </rrc>
  <rcc rId="2056" sId="1" odxf="1" dxf="1">
    <nc r="D184" t="inlineStr">
      <is>
        <t>01005 82900</t>
      </is>
    </nc>
    <ndxf/>
  </rcc>
  <rcc rId="2057" sId="1" odxf="1" dxf="1">
    <nc r="D183" t="inlineStr">
      <is>
        <t>01005 82900</t>
      </is>
    </nc>
    <ndxf>
      <font>
        <i val="0"/>
        <name val="Times New Roman"/>
        <family val="1"/>
      </font>
    </ndxf>
  </rcc>
  <rfmt sheetId="1" sqref="D183" start="0" length="2147483647">
    <dxf>
      <font>
        <i/>
      </font>
    </dxf>
  </rfmt>
  <rcc rId="2058" sId="1">
    <nc r="D182" t="inlineStr">
      <is>
        <t xml:space="preserve">01005 00000 </t>
      </is>
    </nc>
  </rcc>
  <rcc rId="2059" sId="1" odxf="1" dxf="1">
    <nc r="A182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ndxf>
      <numFmt numFmtId="2" formatCode="0.00"/>
      <alignment horizontal="general"/>
    </ndxf>
  </rcc>
  <rcc rId="2060" sId="1" odxf="1" dxf="1">
    <nc r="A183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2061" sId="1" odxf="1" dxf="1">
    <nc r="A184" t="inlineStr">
      <is>
        <t>Закупка товаров, работ и услуг для государственных (муниципальных) нужд</t>
      </is>
    </nc>
    <ndxf/>
  </rcc>
  <rcc rId="2062" sId="1">
    <oc r="F180">
      <f>F185+F189</f>
    </oc>
    <nc r="F180">
      <f>F185+F189+F181</f>
    </nc>
  </rcc>
  <rcc rId="2063" sId="1" numFmtId="4">
    <oc r="F207">
      <v>1103</v>
    </oc>
    <nc r="F207">
      <v>1066.24</v>
    </nc>
  </rcc>
  <rrc rId="2064" sId="1" ref="A208:XFD208" action="insertRow"/>
  <rcc rId="2065" sId="1">
    <nc r="B208" t="inlineStr">
      <is>
        <t>04</t>
      </is>
    </nc>
  </rcc>
  <rcc rId="2066" sId="1">
    <nc r="C208" t="inlineStr">
      <is>
        <t>05</t>
      </is>
    </nc>
  </rcc>
  <rcc rId="2067" sId="1">
    <nc r="D208" t="inlineStr">
      <is>
        <t>99900 83510</t>
      </is>
    </nc>
  </rcc>
  <rcc rId="2068" sId="1">
    <nc r="E208" t="inlineStr">
      <is>
        <t>112</t>
      </is>
    </nc>
  </rcc>
  <rcc rId="2069" sId="1" numFmtId="4">
    <nc r="F208">
      <v>36.76</v>
    </nc>
  </rcc>
  <rcc rId="2070" sId="1" odxf="1" dxf="1">
    <nc r="A208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функцион.структура!$A$4:$F$596</formula>
    <oldFormula>функцион.структура!$A$4:$F$596</oldFormula>
  </rdn>
  <rdn rId="0" localSheetId="1" customView="1" name="Z_629918FE_B1DF_464A_BF50_03D18729BC02_.wvu.FilterData" hidden="1" oldHidden="1">
    <formula>функцион.структура!$A$20:$F$603</formula>
    <oldFormula>функцион.структура!$A$20:$F$603</oldFormula>
  </rdn>
  <rcv guid="{629918FE-B1DF-464A-BF50-03D18729BC02}" action="add"/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73" sId="1" ref="A220:XFD222" action="insertRow"/>
  <rcc rId="2074" sId="1" odxf="1" dxf="1">
    <nc r="A220" t="inlineStr">
      <is>
        <t>Содержание автомобильных дорог общего пользования местного значения, в том числе на обеспечение безопасности дорожного движения и аварийно-восстановительные работы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2075" sId="1" odxf="1" dxf="1">
    <nc r="B220" t="inlineStr">
      <is>
        <t>04</t>
      </is>
    </nc>
    <odxf/>
    <ndxf/>
  </rcc>
  <rcc rId="2076" sId="1" odxf="1" dxf="1">
    <nc r="C220" t="inlineStr">
      <is>
        <t>09</t>
      </is>
    </nc>
    <odxf/>
    <ndxf/>
  </rcc>
  <rcc rId="2077" sId="1" odxf="1" dxf="1">
    <nc r="D220" t="inlineStr">
      <is>
        <t>11001 743Д0</t>
      </is>
    </nc>
    <odxf/>
    <ndxf/>
  </rcc>
  <rfmt sheetId="1" sqref="E220" start="0" length="0">
    <dxf/>
  </rfmt>
  <rfmt sheetId="1" sqref="F220" start="0" length="0">
    <dxf>
      <fill>
        <patternFill patternType="solid">
          <bgColor theme="0"/>
        </patternFill>
      </fill>
    </dxf>
  </rfmt>
  <rfmt sheetId="1" sqref="G220" start="0" length="0">
    <dxf>
      <numFmt numFmtId="165" formatCode="0.00000"/>
    </dxf>
  </rfmt>
  <rfmt sheetId="1" sqref="I220" start="0" length="0">
    <dxf>
      <numFmt numFmtId="165" formatCode="0.00000"/>
    </dxf>
  </rfmt>
  <rfmt sheetId="1" sqref="J220" start="0" length="0">
    <dxf>
      <numFmt numFmtId="165" formatCode="0.00000"/>
    </dxf>
  </rfmt>
  <rfmt sheetId="1" sqref="K220" start="0" length="0">
    <dxf>
      <numFmt numFmtId="165" formatCode="0.00000"/>
    </dxf>
  </rfmt>
  <rcc rId="2078" sId="1" odxf="1" dxf="1">
    <nc r="A221" t="inlineStr">
      <is>
        <t>Иные межбюджетные трансферты</t>
      </is>
    </nc>
    <odxf>
      <font>
        <i/>
        <name val="Times New Roman"/>
        <family val="1"/>
      </font>
      <alignment horizontal="general" vertical="top"/>
    </odxf>
    <ndxf>
      <font>
        <i val="0"/>
        <name val="Times New Roman"/>
        <family val="1"/>
      </font>
      <alignment horizontal="left" vertical="center"/>
    </ndxf>
  </rcc>
  <rcc rId="2079" sId="1" odxf="1" dxf="1">
    <nc r="B22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0" sId="1" odxf="1" dxf="1">
    <nc r="C22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1" sId="1" odxf="1" dxf="1">
    <nc r="D221" t="inlineStr">
      <is>
        <t>11001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2" sId="1" odxf="1" dxf="1">
    <nc r="E221" t="inlineStr">
      <is>
        <t>540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2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21" start="0" length="0">
    <dxf>
      <numFmt numFmtId="165" formatCode="0.00000"/>
    </dxf>
  </rfmt>
  <rfmt sheetId="1" sqref="I221" start="0" length="0">
    <dxf>
      <numFmt numFmtId="165" formatCode="0.00000"/>
    </dxf>
  </rfmt>
  <rfmt sheetId="1" sqref="J221" start="0" length="0">
    <dxf>
      <numFmt numFmtId="165" formatCode="0.00000"/>
    </dxf>
  </rfmt>
  <rfmt sheetId="1" sqref="K221" start="0" length="0">
    <dxf>
      <numFmt numFmtId="165" formatCode="0.00000"/>
    </dxf>
  </rfmt>
  <rcc rId="2083" sId="1" odxf="1" dxf="1">
    <nc r="A222" t="inlineStr">
      <is>
        <t>Субсидии автономным учреждениям на иные цели</t>
      </is>
    </nc>
    <odxf>
      <font>
        <i/>
        <name val="Times New Roman"/>
        <family val="1"/>
      </font>
      <alignment vertical="top"/>
    </odxf>
    <ndxf>
      <font>
        <i val="0"/>
        <name val="Times New Roman"/>
        <family val="1"/>
      </font>
      <alignment vertical="center"/>
    </ndxf>
  </rcc>
  <rcc rId="2084" sId="1" odxf="1" dxf="1">
    <nc r="B22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5" sId="1" odxf="1" dxf="1">
    <nc r="C22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6" sId="1" odxf="1" dxf="1">
    <nc r="D222" t="inlineStr">
      <is>
        <t>11001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7" sId="1" odxf="1" dxf="1">
    <nc r="E222" t="inlineStr">
      <is>
        <t>622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2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22" start="0" length="0">
    <dxf>
      <numFmt numFmtId="165" formatCode="0.00000"/>
    </dxf>
  </rfmt>
  <rfmt sheetId="1" sqref="I222" start="0" length="0">
    <dxf>
      <numFmt numFmtId="165" formatCode="0.00000"/>
    </dxf>
  </rfmt>
  <rfmt sheetId="1" sqref="J222" start="0" length="0">
    <dxf>
      <numFmt numFmtId="165" formatCode="0.00000"/>
    </dxf>
  </rfmt>
  <rfmt sheetId="1" sqref="K222" start="0" length="0">
    <dxf>
      <numFmt numFmtId="165" formatCode="0.00000"/>
    </dxf>
  </rfmt>
  <rcc rId="2088" sId="1" numFmtId="4">
    <nc r="F221">
      <v>4169.8995400000003</v>
    </nc>
  </rcc>
  <rcc rId="2089" sId="1" numFmtId="4">
    <nc r="F222">
      <v>830.10046</v>
    </nc>
  </rcc>
  <rcc rId="2090" sId="1">
    <nc r="F220">
      <f>SUM(F221:F222)</f>
    </nc>
  </rcc>
  <rcc rId="2091" sId="1">
    <oc r="F219">
      <f>F223+F226</f>
    </oc>
    <nc r="F219">
      <f>F223+F226+F220</f>
    </nc>
  </rcc>
  <rrc rId="2092" sId="1" ref="A224:XFD224" action="insertRow"/>
  <rfmt sheetId="1" sqref="A224" start="0" length="0">
    <dxf>
      <font>
        <i val="0"/>
        <name val="Times New Roman"/>
        <family val="1"/>
      </font>
      <alignment horizontal="left" vertical="center"/>
    </dxf>
  </rfmt>
  <rcc rId="2093" sId="1" odxf="1" dxf="1">
    <nc r="B22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94" sId="1" odxf="1" dxf="1">
    <nc r="C22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95" sId="1" odxf="1" dxf="1">
    <nc r="D224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24" start="0" length="0">
    <dxf>
      <font>
        <i val="0"/>
        <name val="Times New Roman"/>
        <family val="1"/>
      </font>
    </dxf>
  </rfmt>
  <rfmt sheetId="1" sqref="F224" start="0" length="0">
    <dxf>
      <font>
        <i val="0"/>
        <name val="Times New Roman"/>
        <family val="1"/>
      </font>
    </dxf>
  </rfmt>
  <rcc rId="2096" sId="1">
    <nc r="E224" t="inlineStr">
      <is>
        <t>244</t>
      </is>
    </nc>
  </rcc>
  <rcc rId="2097" sId="1" numFmtId="4">
    <nc r="F224">
      <v>400</v>
    </nc>
  </rcc>
  <rcc rId="2098" sId="1" odxf="1" dxf="1">
    <nc r="A224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2099" sId="1" numFmtId="4">
    <oc r="F226">
      <v>21913.600050000001</v>
    </oc>
    <nc r="F226">
      <v>21513.600050000001</v>
    </nc>
  </rcc>
  <rcc rId="2100" sId="1">
    <oc r="F223">
      <f>SUM(F225:F226)</f>
    </oc>
    <nc r="F223">
      <f>SUM(F224:F226)</f>
    </nc>
  </rcc>
  <rcc rId="2101" sId="1" numFmtId="4">
    <oc r="F252">
      <f>400+430</f>
    </oc>
    <nc r="F252">
      <v>630</v>
    </nc>
  </rcc>
  <rfmt sheetId="1" sqref="A313:F313" start="0" length="2147483647">
    <dxf>
      <font>
        <i/>
      </font>
    </dxf>
  </rfmt>
  <rcc rId="2102" sId="1" numFmtId="4">
    <oc r="F316">
      <f>57059.06778+3009+978.3</f>
    </oc>
    <nc r="F316">
      <v>60826.36778</v>
    </nc>
  </rcc>
  <rcc rId="2103" sId="1" numFmtId="4">
    <oc r="F330">
      <v>100798.73269999999</v>
    </oc>
    <nc r="F330">
      <v>93717.243319999994</v>
    </nc>
  </rcc>
  <rrc rId="2104" sId="1" ref="A338:XFD338" action="insertRow"/>
  <rrc rId="2105" sId="1" ref="A338:XFD338" action="insertRow"/>
  <rcc rId="2106" sId="1" odxf="1" dxf="1">
    <nc r="A338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2107" sId="1" odxf="1" dxf="1">
    <nc r="B338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108" sId="1" odxf="1" dxf="1">
    <nc r="C338" t="inlineStr">
      <is>
        <t>13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109" sId="1" odxf="1" dxf="1">
    <nc r="D338" t="inlineStr">
      <is>
        <t>99900 86000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33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110" sId="1" odxf="1" dxf="1">
    <nc r="F338">
      <f>F339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339" start="0" length="0">
    <dxf>
      <fill>
        <patternFill patternType="none">
          <bgColor indexed="65"/>
        </patternFill>
      </fill>
    </dxf>
  </rfmt>
  <rcc rId="2111" sId="1" odxf="1" dxf="1">
    <nc r="B339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12" sId="1" odxf="1" dxf="1">
    <nc r="C339" t="inlineStr">
      <is>
        <t>13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13" sId="1" odxf="1" dxf="1">
    <nc r="D339" t="inlineStr">
      <is>
        <t>99900 86000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339" start="0" length="0">
    <dxf>
      <fill>
        <patternFill patternType="none">
          <bgColor indexed="65"/>
        </patternFill>
      </fill>
    </dxf>
  </rfmt>
  <rfmt sheetId="1" sqref="F339" start="0" length="0">
    <dxf>
      <fill>
        <patternFill patternType="solid">
          <bgColor theme="0"/>
        </patternFill>
      </fill>
    </dxf>
  </rfmt>
  <rcc rId="2114" sId="1">
    <nc r="E339" t="inlineStr">
      <is>
        <t>612</t>
      </is>
    </nc>
  </rcc>
  <rcc rId="2115" sId="1" numFmtId="4">
    <nc r="F339">
      <v>5</v>
    </nc>
  </rcc>
  <rcc rId="2116" sId="1" odxf="1" dxf="1">
    <nc r="A339" t="inlineStr">
      <is>
        <t>Субсидии бюджетным учреждениям на иные цели</t>
      </is>
    </nc>
    <ndxf>
      <fill>
        <patternFill patternType="solid"/>
      </fill>
    </ndxf>
  </rcc>
  <rcc rId="2117" sId="1">
    <oc r="F335">
      <f>F336+F340</f>
    </oc>
    <nc r="F335">
      <f>F336+F340+F338</f>
    </nc>
  </rcc>
  <rcc rId="2118" sId="1" numFmtId="4">
    <oc r="F388">
      <v>5153.3</v>
    </oc>
    <nc r="F388">
      <v>3166.7628800000002</v>
    </nc>
  </rcc>
  <rrc rId="2119" sId="1" ref="A389:XFD389" action="insertRow"/>
  <rcc rId="2120" sId="1">
    <nc r="B389" t="inlineStr">
      <is>
        <t>07</t>
      </is>
    </nc>
  </rcc>
  <rcc rId="2121" sId="1">
    <nc r="C389" t="inlineStr">
      <is>
        <t>07</t>
      </is>
    </nc>
  </rcc>
  <rcc rId="2122" sId="1">
    <nc r="D389" t="inlineStr">
      <is>
        <t>10401 73050</t>
      </is>
    </nc>
  </rcc>
  <rcc rId="2123" sId="1">
    <nc r="E389" t="inlineStr">
      <is>
        <t>612</t>
      </is>
    </nc>
  </rcc>
  <rcc rId="2124" sId="1" numFmtId="4">
    <nc r="F389">
      <v>1986.53712</v>
    </nc>
  </rcc>
  <rcc rId="2125" sId="1">
    <oc r="F387">
      <f>F388</f>
    </oc>
    <nc r="F387">
      <f>SUM(F388:F389)</f>
    </nc>
  </rcc>
  <rcc rId="2126" sId="1" odxf="1" dxf="1">
    <nc r="A38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2127" sId="1" numFmtId="4">
    <oc r="F391">
      <v>4805.2380000000003</v>
    </oc>
    <nc r="F391">
      <v>3629.973</v>
    </nc>
  </rcc>
  <rrc rId="2128" sId="1" ref="A392:XFD392" action="insertRow"/>
  <rcc rId="2129" sId="1">
    <nc r="B392" t="inlineStr">
      <is>
        <t>07</t>
      </is>
    </nc>
  </rcc>
  <rcc rId="2130" sId="1">
    <nc r="C392" t="inlineStr">
      <is>
        <t>07</t>
      </is>
    </nc>
  </rcc>
  <rcc rId="2131" sId="1">
    <nc r="D392" t="inlineStr">
      <is>
        <t>10401 73140</t>
      </is>
    </nc>
  </rcc>
  <rcc rId="2132" sId="1">
    <nc r="E392" t="inlineStr">
      <is>
        <t>612</t>
      </is>
    </nc>
  </rcc>
  <rcc rId="2133" sId="1" numFmtId="4">
    <nc r="F392">
      <v>1175.2650000000001</v>
    </nc>
  </rcc>
  <rcc rId="2134" sId="1">
    <oc r="F390">
      <f>F391</f>
    </oc>
    <nc r="F390">
      <f>SUM(F391:F392)</f>
    </nc>
  </rcc>
  <rcc rId="2135" sId="1" odxf="1" dxf="1">
    <nc r="A3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2136" sId="1" numFmtId="4">
    <oc r="F465">
      <v>2453.6</v>
    </oc>
    <nc r="F465">
      <v>2943.68415</v>
    </nc>
  </rcc>
  <rrc rId="2137" sId="1" ref="A466:XFD466" action="insertRow"/>
  <rrc rId="2138" sId="1" ref="A466:XFD466" action="insertRow"/>
  <rcc rId="2139" sId="1" odxf="1" dxf="1">
    <nc r="A466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B466" start="0" length="0">
    <dxf>
      <font>
        <i/>
        <name val="Times New Roman"/>
        <family val="1"/>
      </font>
    </dxf>
  </rfmt>
  <rfmt sheetId="1" sqref="C466" start="0" length="0">
    <dxf>
      <font>
        <i/>
        <name val="Times New Roman"/>
        <family val="1"/>
      </font>
    </dxf>
  </rfmt>
  <rcc rId="2140" sId="1" odxf="1" dxf="1">
    <nc r="D466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6" start="0" length="0">
    <dxf>
      <font>
        <i/>
        <name val="Times New Roman"/>
        <family val="1"/>
      </font>
    </dxf>
  </rfmt>
  <rcc rId="2141" sId="1" odxf="1" dxf="1">
    <nc r="F466">
      <f>F467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467" start="0" length="0">
    <dxf>
      <fill>
        <patternFill>
          <bgColor indexed="65"/>
        </patternFill>
      </fill>
    </dxf>
  </rfmt>
  <rfmt sheetId="1" sqref="B467" start="0" length="0">
    <dxf/>
  </rfmt>
  <rfmt sheetId="1" sqref="C467" start="0" length="0">
    <dxf/>
  </rfmt>
  <rcc rId="2142" sId="1" odxf="1" dxf="1">
    <nc r="D467" t="inlineStr">
      <is>
        <t>99900 86000</t>
      </is>
    </nc>
    <odxf/>
    <ndxf/>
  </rcc>
  <rfmt sheetId="1" sqref="E467" start="0" length="0">
    <dxf/>
  </rfmt>
  <rcc rId="2143" sId="1">
    <nc r="B466" t="inlineStr">
      <is>
        <t>08</t>
      </is>
    </nc>
  </rcc>
  <rcc rId="2144" sId="1">
    <nc r="C466" t="inlineStr">
      <is>
        <t>01</t>
      </is>
    </nc>
  </rcc>
  <rcc rId="2145" sId="1">
    <nc r="C467" t="inlineStr">
      <is>
        <t>01</t>
      </is>
    </nc>
  </rcc>
  <rcc rId="2146" sId="1">
    <nc r="B467" t="inlineStr">
      <is>
        <t>08</t>
      </is>
    </nc>
  </rcc>
  <rcc rId="2147" sId="1">
    <nc r="E467" t="inlineStr">
      <is>
        <t>113</t>
      </is>
    </nc>
  </rcc>
  <rcc rId="2148" sId="1" numFmtId="4">
    <nc r="F467">
      <v>40</v>
    </nc>
  </rcc>
  <rcc rId="2149" sId="1">
    <oc r="F463">
      <f>F468+F464+F470</f>
    </oc>
    <nc r="F463">
      <f>F468+F464+F470+F466</f>
    </nc>
  </rcc>
  <rfmt sheetId="1" sqref="A467">
    <dxf>
      <fill>
        <patternFill>
          <bgColor rgb="FFFFFF00"/>
        </patternFill>
      </fill>
    </dxf>
  </rfmt>
  <rcc rId="2150" sId="1" numFmtId="4">
    <oc r="F500">
      <v>2093.13</v>
    </oc>
    <nc r="F500">
      <v>2293.13</v>
    </nc>
  </rcc>
  <rcc rId="2151" sId="1" numFmtId="4">
    <oc r="F530">
      <v>372.03699999999998</v>
    </oc>
    <nc r="F530">
      <v>327.03699999999998</v>
    </nc>
  </rcc>
  <rcc rId="2152" sId="1" numFmtId="4">
    <oc r="F531">
      <v>88.703999999999994</v>
    </oc>
    <nc r="F531">
      <v>133.70400000000001</v>
    </nc>
  </rcc>
  <rfmt sheetId="1" sqref="F555" start="0" length="2147483647">
    <dxf>
      <font>
        <i/>
      </font>
    </dxf>
  </rfmt>
  <rcc rId="2153" sId="1" numFmtId="4">
    <oc r="F573">
      <v>3.7444600000000001</v>
    </oc>
    <nc r="F573">
      <v>3.72675</v>
    </nc>
  </rcc>
  <rcc rId="2154" sId="1" numFmtId="4">
    <oc r="F574">
      <v>0.38553999999999999</v>
    </oc>
    <nc r="F574">
      <v>0.40325</v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55" sId="1" numFmtId="4">
    <oc r="F608">
      <v>1998296.75762</v>
    </oc>
    <nc r="F608">
      <v>1996802.2682399999</v>
    </nc>
  </rcc>
  <rrc rId="2156" sId="1" ref="A54:XFD54" action="insertRow"/>
  <rcc rId="2157" sId="1">
    <nc r="B54" t="inlineStr">
      <is>
        <t>01</t>
      </is>
    </nc>
  </rcc>
  <rcc rId="2158" sId="1">
    <nc r="C54" t="inlineStr">
      <is>
        <t>04</t>
      </is>
    </nc>
  </rcc>
  <rcc rId="2159" sId="1">
    <nc r="D54" t="inlineStr">
      <is>
        <t>99900 81020</t>
      </is>
    </nc>
  </rcc>
  <rcc rId="2160" sId="1">
    <nc r="E54" t="inlineStr">
      <is>
        <t>244</t>
      </is>
    </nc>
  </rcc>
  <rcc rId="2161" sId="1" numFmtId="4">
    <nc r="F54">
      <v>12.551069999999999</v>
    </nc>
  </rcc>
  <rcc rId="2162" sId="1" odxf="1" dxf="1">
    <nc r="A54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3" sId="1" numFmtId="4">
    <oc r="F59">
      <v>123.822</v>
    </oc>
    <nc r="F59">
      <v>127.322</v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4" sId="1" numFmtId="4">
    <oc r="F40">
      <v>27.601199999999999</v>
    </oc>
    <nc r="F40">
      <v>89.104990000000001</v>
    </nc>
  </rcc>
  <rcc rId="2165" sId="1" numFmtId="4">
    <oc r="F43">
      <v>374.31880000000001</v>
    </oc>
    <nc r="F43">
      <v>312.81500999999997</v>
    </nc>
  </rcc>
  <rcc rId="2166" sId="1" numFmtId="4">
    <oc r="F52">
      <v>1862.1452400000001</v>
    </oc>
    <nc r="F52">
      <v>1800.8475100000001</v>
    </nc>
  </rcc>
  <rcc rId="2167" sId="1" numFmtId="4">
    <oc r="F55">
      <v>285.94585000000001</v>
    </oc>
    <nc r="F55">
      <v>292.18045000000001</v>
    </nc>
  </rcc>
  <rcc rId="2168" sId="1" numFmtId="4">
    <oc r="F56">
      <v>139.64938000000001</v>
    </oc>
    <nc r="F56">
      <v>143.21251000000001</v>
    </nc>
  </rcc>
  <rrc rId="2169" sId="1" ref="A85:XFD85" action="insertRow"/>
  <rcc rId="2170" sId="1">
    <nc r="B85" t="inlineStr">
      <is>
        <t>01</t>
      </is>
    </nc>
  </rcc>
  <rcc rId="2171" sId="1">
    <nc r="C85" t="inlineStr">
      <is>
        <t>06</t>
      </is>
    </nc>
  </rcc>
  <rcc rId="2172" sId="1">
    <nc r="D85" t="inlineStr">
      <is>
        <t>99900 41000</t>
      </is>
    </nc>
  </rcc>
  <rcc rId="2173" sId="1">
    <nc r="E85" t="inlineStr">
      <is>
        <t>242</t>
      </is>
    </nc>
  </rcc>
  <rcc rId="2174" sId="1" numFmtId="4">
    <nc r="F85">
      <v>300</v>
    </nc>
  </rcc>
  <rcc rId="2175" sId="1">
    <oc r="F82">
      <f>SUM(F83:F84)</f>
    </oc>
    <nc r="F82">
      <f>SUM(F83:F85)</f>
    </nc>
  </rcc>
  <rcc rId="2176" sId="1" odxf="1" dxf="1">
    <nc r="A85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177" sId="1" numFmtId="4">
    <oc r="F92">
      <v>60</v>
    </oc>
    <nc r="F92">
      <v>0</v>
    </nc>
  </rcc>
  <rcc rId="2178" sId="1" numFmtId="4">
    <oc r="F108">
      <v>4119.5</v>
    </oc>
    <nc r="F108">
      <v>3520.6696200000001</v>
    </nc>
  </rcc>
  <rcc rId="2179" sId="1" numFmtId="4">
    <oc r="F109">
      <v>2.4</v>
    </oc>
    <nc r="F109">
      <v>7.2</v>
    </nc>
  </rcc>
  <rcc rId="2180" sId="1" numFmtId="4">
    <oc r="F110">
      <v>754.00331000000006</v>
    </oc>
    <nc r="F110">
      <v>802.20330999999999</v>
    </nc>
  </rcc>
  <rcc rId="2181" sId="1" numFmtId="4">
    <oc r="F114">
      <v>37.033279999999998</v>
    </oc>
    <nc r="F114">
      <v>45.033279999999998</v>
    </nc>
  </rcc>
  <rcc rId="2182" sId="1" numFmtId="4">
    <oc r="F117">
      <v>472.98700000000002</v>
    </oc>
    <nc r="F117">
      <v>460.18700000000001</v>
    </nc>
  </rcc>
  <rcc rId="2183" sId="1" numFmtId="4">
    <oc r="F159">
      <v>151.69499999999999</v>
    </oc>
    <nc r="F159">
      <v>224.65177</v>
    </nc>
  </rcc>
  <rcc rId="2184" sId="1" numFmtId="4">
    <oc r="F160">
      <v>3015.23</v>
    </oc>
    <nc r="F160">
      <v>2883.8732300000001</v>
    </nc>
  </rcc>
  <rcc rId="2185" sId="1" numFmtId="4">
    <oc r="F161">
      <f>540+20+22.5+30+71.3</f>
    </oc>
    <nc r="F161">
      <v>689.70500000000004</v>
    </nc>
  </rcc>
  <rcc rId="2186" sId="1" numFmtId="4">
    <oc r="F162">
      <v>5408.8162000000002</v>
    </oc>
    <nc r="F162">
      <v>5657.8112000000001</v>
    </nc>
  </rcc>
  <rrc rId="2187" sId="1" ref="A164:XFD164" action="insertRow"/>
  <rcc rId="2188" sId="1">
    <nc r="B164" t="inlineStr">
      <is>
        <t>01</t>
      </is>
    </nc>
  </rcc>
  <rcc rId="2189" sId="1">
    <nc r="C164" t="inlineStr">
      <is>
        <t>13</t>
      </is>
    </nc>
  </rcc>
  <rcc rId="2190" sId="1">
    <nc r="D164" t="inlineStr">
      <is>
        <t>99900 83590</t>
      </is>
    </nc>
  </rcc>
  <rcc rId="2191" sId="1">
    <nc r="E164" t="inlineStr">
      <is>
        <t>831</t>
      </is>
    </nc>
  </rcc>
  <rcc rId="2192" sId="1" numFmtId="4">
    <nc r="F164">
      <v>1</v>
    </nc>
  </rcc>
  <rcc rId="2193" sId="1" numFmtId="4">
    <oc r="F167">
      <v>0.5</v>
    </oc>
    <nc r="F167">
      <v>54.5</v>
    </nc>
  </rcc>
  <rcc rId="2194" sId="1">
    <oc r="F157">
      <f>SUM(F158:F167)</f>
    </oc>
    <nc r="F157">
      <f>SUM(F158:F167)</f>
    </nc>
  </rcc>
  <rcc rId="2195" sId="1">
    <nc r="A164" t="inlineStr">
      <is>
        <t>Исполнение судебных актов Российской Федерации и мировых соглашений по возмещению причиненного вреда</t>
      </is>
    </nc>
  </rcc>
  <rcc rId="2196" sId="1" numFmtId="4">
    <oc r="F169">
      <v>285</v>
    </oc>
    <nc r="F169">
      <v>340</v>
    </nc>
  </rcc>
  <rcc rId="2197" sId="1" numFmtId="4">
    <oc r="F171">
      <v>9757.6741000000002</v>
    </oc>
    <nc r="F171">
      <v>9050.1527800000003</v>
    </nc>
  </rcc>
  <rcc rId="2198" sId="1" numFmtId="4">
    <oc r="F211">
      <v>36.76</v>
    </oc>
    <nc r="F211">
      <v>55.06</v>
    </nc>
  </rcc>
  <rcc rId="2199" sId="1" numFmtId="4">
    <oc r="F212">
      <v>333.1</v>
    </oc>
    <nc r="F212">
      <v>292.3</v>
    </nc>
  </rcc>
  <rcc rId="2200" sId="1" numFmtId="4">
    <oc r="F214">
      <v>5</v>
    </oc>
    <nc r="F214">
      <v>27.5</v>
    </nc>
  </rcc>
  <rcc rId="2201" sId="1" numFmtId="4">
    <oc r="F229">
      <v>21513.600050000001</v>
    </oc>
    <nc r="F229">
      <v>21426.150249999999</v>
    </nc>
  </rcc>
  <rrc rId="2202" sId="1" ref="A232:XFD232" action="insertRow"/>
  <rrc rId="2203" sId="1" ref="A232:XFD232" action="insertRow"/>
  <rcc rId="2204" sId="1" odxf="1" dxf="1">
    <nc r="A232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5" sId="1" odxf="1" dxf="1">
    <nc r="A23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/>
    <ndxf/>
  </rcc>
  <rcc rId="2206" sId="1" odxf="1" dxf="1">
    <nc r="B23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7" sId="1" odxf="1" dxf="1">
    <nc r="C232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8" sId="1" odxf="1" dxf="1">
    <nc r="D232" t="inlineStr">
      <is>
        <t>11001 S23ДО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9" sId="1">
    <nc r="B233" t="inlineStr">
      <is>
        <t>04</t>
      </is>
    </nc>
  </rcc>
  <rcc rId="2210" sId="1">
    <nc r="C233" t="inlineStr">
      <is>
        <t>09</t>
      </is>
    </nc>
  </rcc>
  <rcc rId="2211" sId="1">
    <nc r="D233" t="inlineStr">
      <is>
        <t>11001 S23ДО</t>
      </is>
    </nc>
  </rcc>
  <rcc rId="2212" sId="1">
    <nc r="E233" t="inlineStr">
      <is>
        <t>621</t>
      </is>
    </nc>
  </rcc>
  <rcc rId="2213" sId="1" numFmtId="4">
    <nc r="F233">
      <v>4374.4498000000003</v>
    </nc>
  </rcc>
  <rcc rId="2214" sId="1">
    <nc r="F232">
      <f>F233</f>
    </nc>
  </rcc>
  <rcc rId="2215" sId="1">
    <oc r="F222">
      <f>F226+F230+F223</f>
    </oc>
    <nc r="F222">
      <f>F226+F230+F223+F232</f>
    </nc>
  </rcc>
  <rcc rId="2216" sId="1" numFmtId="4">
    <oc r="F284">
      <v>2165.1093599999999</v>
    </oc>
    <nc r="F284">
      <v>2872.6306800000002</v>
    </nc>
  </rcc>
  <rcc rId="2217" sId="1" numFmtId="4">
    <oc r="F305">
      <v>37513.24</v>
    </oc>
    <nc r="F305">
      <v>36704.758999999998</v>
    </nc>
  </rcc>
  <rcc rId="2218" sId="1" numFmtId="4">
    <oc r="F321">
      <v>60826.36778</v>
    </oc>
    <nc r="F321">
      <v>61025.307739999997</v>
    </nc>
  </rcc>
  <rcc rId="2219" sId="1" numFmtId="4">
    <oc r="F393">
      <v>3166.7628800000002</v>
    </oc>
    <nc r="F393">
      <v>3359.96288</v>
    </nc>
  </rcc>
  <rcc rId="2220" sId="1" numFmtId="4">
    <oc r="F396">
      <v>3629.973</v>
    </oc>
    <nc r="F396">
      <v>4108.0379400000002</v>
    </nc>
  </rcc>
  <rcc rId="2221" sId="1" numFmtId="4">
    <oc r="F399">
      <v>59.37</v>
    </oc>
    <nc r="F399">
      <v>61.597000000000001</v>
    </nc>
  </rcc>
  <rcc rId="2222" sId="1" numFmtId="4">
    <oc r="F400">
      <v>17.93</v>
    </oc>
    <nc r="F400">
      <v>18.603000000000002</v>
    </nc>
  </rcc>
  <rcc rId="2223" sId="1" numFmtId="4">
    <oc r="F406">
      <v>55.353999999999999</v>
    </oc>
    <nc r="F406">
      <v>60.860999999999997</v>
    </nc>
  </rcc>
  <rcc rId="2224" sId="1" numFmtId="4">
    <oc r="F407">
      <v>16.725000000000001</v>
    </oc>
    <nc r="F407">
      <v>18.38897</v>
    </nc>
  </rcc>
  <rcc rId="2225" sId="1" numFmtId="4">
    <oc r="F416">
      <v>5733.0649999999996</v>
    </oc>
    <nc r="F416">
      <v>5556.759</v>
    </nc>
  </rcc>
  <rcc rId="2226" sId="1" numFmtId="4">
    <oc r="F419">
      <f>4007.8+34.04</f>
    </oc>
    <nc r="F419">
      <v>4250.1459999999997</v>
    </nc>
  </rcc>
  <rcc rId="2227" sId="1" numFmtId="4">
    <oc r="F450">
      <v>9107.0210299999999</v>
    </oc>
    <nc r="F450">
      <v>8943.2499700000008</v>
    </nc>
  </rcc>
  <rrc rId="2228" sId="1" ref="A451:XFD451" action="insertRow"/>
  <rcc rId="2229" sId="1">
    <nc r="B451" t="inlineStr">
      <is>
        <t>08</t>
      </is>
    </nc>
  </rcc>
  <rcc rId="2230" sId="1">
    <nc r="C451" t="inlineStr">
      <is>
        <t>01</t>
      </is>
    </nc>
  </rcc>
  <rcc rId="2231" sId="1">
    <nc r="D451" t="inlineStr">
      <is>
        <t>08201 83110</t>
      </is>
    </nc>
  </rcc>
  <rcc rId="2232" sId="1">
    <nc r="E451" t="inlineStr">
      <is>
        <t>622</t>
      </is>
    </nc>
  </rcc>
  <rcc rId="2233" sId="1" numFmtId="4">
    <nc r="F451">
      <v>163.77106000000001</v>
    </nc>
  </rcc>
  <rcc rId="2234" sId="1">
    <oc r="F449">
      <f>SUM(F450:F450)</f>
    </oc>
    <nc r="F449">
      <f>SUM(F450:F451)</f>
    </nc>
  </rcc>
  <rcc rId="2235" sId="1">
    <nc r="A451" t="inlineStr">
      <is>
        <t>Субсидии автономным учреждениям на иные цели</t>
      </is>
    </nc>
  </rcc>
  <rcc rId="2236" sId="1" numFmtId="4">
    <oc r="F463">
      <v>745</v>
    </oc>
    <nc r="F463">
      <v>740</v>
    </nc>
  </rcc>
  <rcc rId="2237" sId="1" numFmtId="4">
    <oc r="F471">
      <v>2943.68415</v>
    </oc>
    <nc r="F471">
      <v>3494.3145300000001</v>
    </nc>
  </rcc>
  <rcc rId="2238" sId="1" numFmtId="4">
    <oc r="F473">
      <v>40</v>
    </oc>
    <nc r="F473">
      <v>45</v>
    </nc>
  </rcc>
  <rrc rId="2239" sId="1" ref="A487:XFD487" action="insertRow"/>
  <rcc rId="2240" sId="1">
    <nc r="B487" t="inlineStr">
      <is>
        <t>08</t>
      </is>
    </nc>
  </rcc>
  <rcc rId="2241" sId="1">
    <nc r="C487" t="inlineStr">
      <is>
        <t>04</t>
      </is>
    </nc>
  </rcc>
  <rcc rId="2242" sId="1">
    <nc r="D487" t="inlineStr">
      <is>
        <t>08402 83160</t>
      </is>
    </nc>
  </rcc>
  <rcc rId="2243" sId="1">
    <nc r="E487" t="inlineStr">
      <is>
        <t>112</t>
      </is>
    </nc>
  </rcc>
  <rcc rId="2244" sId="1" numFmtId="4">
    <nc r="F487">
      <v>11.1</v>
    </nc>
  </rcc>
  <rcc rId="2245" sId="1" numFmtId="4">
    <oc r="F488">
      <v>2003.81</v>
    </oc>
    <nc r="F488">
      <v>1997.71</v>
    </nc>
  </rcc>
  <rcc rId="2246" sId="1">
    <nc r="A487" t="inlineStr">
      <is>
        <t>Иные выплаты персоналу учреждений, за исключением фонда оплаты труда</t>
      </is>
    </nc>
  </rcc>
  <rcc rId="2247" sId="1">
    <nc r="A473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fmt sheetId="1" sqref="A473">
    <dxf>
      <fill>
        <patternFill patternType="none">
          <bgColor auto="1"/>
        </patternFill>
      </fill>
    </dxf>
  </rfmt>
  <rcc rId="2248" sId="1" numFmtId="4">
    <oc r="F501">
      <f>2000+365.4</f>
    </oc>
    <nc r="F501">
      <v>2442.9410400000002</v>
    </nc>
  </rcc>
  <rrc rId="2249" sId="1" ref="A519:XFD519" action="insertRow"/>
  <rcc rId="2250" sId="1">
    <nc r="A519" t="inlineStr">
      <is>
        <t>Иные выплаты персоналу государственных (муниципальных) органов, за исключением фонда оплаты труда</t>
      </is>
    </nc>
  </rcc>
  <rcc rId="2251" sId="1">
    <nc r="E519" t="inlineStr">
      <is>
        <t>122</t>
      </is>
    </nc>
  </rcc>
  <rcc rId="2252" sId="1">
    <nc r="B519" t="inlineStr">
      <is>
        <t>10</t>
      </is>
    </nc>
  </rcc>
  <rcc rId="2253" sId="1">
    <nc r="C519" t="inlineStr">
      <is>
        <t>06</t>
      </is>
    </nc>
  </rcc>
  <rcc rId="2254" sId="1">
    <nc r="D519" t="inlineStr">
      <is>
        <t>99900 73130</t>
      </is>
    </nc>
  </rcc>
  <rcc rId="2255" sId="1" numFmtId="4">
    <nc r="F519">
      <v>5.3</v>
    </nc>
  </rcc>
  <rcc rId="2256" sId="1" numFmtId="4">
    <oc r="F521">
      <v>35.82</v>
    </oc>
    <nc r="F521">
      <v>30</v>
    </nc>
  </rcc>
  <rcc rId="2257" sId="1" numFmtId="4">
    <oc r="F522">
      <v>33</v>
    </oc>
    <nc r="F522">
      <v>33.520000000000003</v>
    </nc>
  </rcc>
  <rcc rId="2258" sId="1" numFmtId="4">
    <oc r="F538">
      <v>327.03699999999998</v>
    </oc>
    <nc r="F538">
      <v>384.83600000000001</v>
    </nc>
  </rcc>
  <rcc rId="2259" sId="1" numFmtId="4">
    <oc r="F539">
      <v>133.70400000000001</v>
    </oc>
    <nc r="F539">
      <v>352.60399999999998</v>
    </nc>
  </rcc>
  <rcc rId="2260" sId="1" numFmtId="4">
    <oc r="F577">
      <v>1744.319</v>
    </oc>
    <nc r="F577">
      <v>1531.819</v>
    </nc>
  </rcc>
  <rcc rId="2261" sId="1" numFmtId="4">
    <oc r="F578">
      <v>526.78099999999995</v>
    </oc>
    <nc r="F578">
      <v>462.58199999999999</v>
    </nc>
  </rcc>
  <rcc rId="2262" sId="1" numFmtId="4">
    <oc r="F616">
      <v>1996802.2682399999</v>
    </oc>
    <nc r="F616">
      <v>2002130.60415</v>
    </nc>
  </rcc>
  <rrc rId="2263" sId="1" ref="A347:XFD347" action="insertRow"/>
  <rrc rId="2264" sId="1" ref="A347:XFD347" action="insertRow"/>
  <rrc rId="2265" sId="1" ref="A347:XFD348" action="insertRow"/>
  <rrc rId="2266" sId="1" ref="A347:XFD348" action="insertRow"/>
  <rcc rId="2267" sId="1" odxf="1" dxf="1">
    <nc r="A347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  <fill>
        <patternFill patternType="none"/>
      </fill>
    </odxf>
    <ndxf>
      <font>
        <b/>
        <color indexed="8"/>
        <name val="Times New Roman"/>
        <family val="1"/>
      </font>
      <fill>
        <patternFill patternType="solid"/>
      </fill>
    </ndxf>
  </rcc>
  <rcc rId="2268" sId="1" odxf="1" dxf="1">
    <nc r="A348" t="inlineStr">
      <is>
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</is>
    </nc>
    <odxf>
      <font>
        <b val="0"/>
        <i val="0"/>
        <color indexed="8"/>
        <name val="Times New Roman"/>
        <family val="1"/>
      </font>
      <fill>
        <patternFill patternType="none"/>
      </fill>
    </odxf>
    <ndxf>
      <font>
        <b/>
        <i/>
        <color indexed="8"/>
        <name val="Times New Roman"/>
        <family val="1"/>
      </font>
      <fill>
        <patternFill patternType="solid"/>
      </fill>
    </ndxf>
  </rcc>
  <rcc rId="2269" sId="1" odxf="1" dxf="1">
    <nc r="A349" t="inlineStr">
      <is>
        <t>Основное мероприятие «Проведение образовательных, культурных, спортивных и других мероприятий (национальных праздников и пр.) на двух государственных языках Республики Бурятия (в том числе на родных языках, народов "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2270" sId="1" odxf="1" dxf="1">
    <nc r="A35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ill>
        <patternFill patternType="none"/>
      </fill>
    </odxf>
    <ndxf>
      <fill>
        <patternFill patternType="solid"/>
      </fill>
    </ndxf>
  </rcc>
  <rcc rId="2271" sId="1" odxf="1" dxf="1">
    <nc r="A35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2272" sId="1" ref="A352:XFD352" action="deleteRow">
    <rfmt sheetId="1" xfDxf="1" sqref="A352:XFD352" start="0" length="0">
      <dxf>
        <font>
          <i/>
          <name val="Times New Roman CYR"/>
          <family val="1"/>
        </font>
        <alignment wrapText="1"/>
      </dxf>
    </rfmt>
    <rfmt sheetId="1" sqref="A352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C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D347" start="0" length="0">
    <dxf>
      <font>
        <b/>
        <i/>
        <name val="Times New Roman"/>
        <family val="1"/>
      </font>
    </dxf>
  </rfmt>
  <rfmt sheetId="1" sqref="E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B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C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48" start="0" length="0">
    <dxf>
      <font>
        <i/>
        <name val="Times New Roman"/>
        <family val="1"/>
      </font>
    </dxf>
  </rfmt>
  <rfmt sheetId="1" sqref="E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B349" start="0" length="0">
    <dxf>
      <fill>
        <patternFill patternType="none">
          <bgColor indexed="65"/>
        </patternFill>
      </fill>
    </dxf>
  </rfmt>
  <rfmt sheetId="1" sqref="C349" start="0" length="0">
    <dxf>
      <fill>
        <patternFill patternType="none">
          <bgColor indexed="65"/>
        </patternFill>
      </fill>
    </dxf>
  </rfmt>
  <rfmt sheetId="1" sqref="E349" start="0" length="0">
    <dxf>
      <fill>
        <patternFill patternType="none">
          <bgColor indexed="65"/>
        </patternFill>
      </fill>
    </dxf>
  </rfmt>
  <rfmt sheetId="1" sqref="B350" start="0" length="0">
    <dxf>
      <fill>
        <patternFill patternType="none">
          <bgColor indexed="65"/>
        </patternFill>
      </fill>
    </dxf>
  </rfmt>
  <rfmt sheetId="1" sqref="C350" start="0" length="0">
    <dxf>
      <fill>
        <patternFill patternType="none">
          <bgColor indexed="65"/>
        </patternFill>
      </fill>
    </dxf>
  </rfmt>
  <rfmt sheetId="1" sqref="E350" start="0" length="0">
    <dxf>
      <fill>
        <patternFill patternType="none">
          <bgColor indexed="65"/>
        </patternFill>
      </fill>
    </dxf>
  </rfmt>
  <rcc rId="2273" sId="1">
    <nc r="B347" t="inlineStr">
      <is>
        <t>07</t>
      </is>
    </nc>
  </rcc>
  <rcc rId="2274" sId="1">
    <nc r="C347" t="inlineStr">
      <is>
        <t>02</t>
      </is>
    </nc>
  </rcc>
  <rcc rId="2275" sId="1">
    <nc r="D347" t="inlineStr">
      <is>
        <t>22000 00000</t>
      </is>
    </nc>
  </rcc>
  <rcc rId="2276" sId="1" numFmtId="4">
    <nc r="F347">
      <v>360</v>
    </nc>
  </rcc>
  <rcc rId="2277" sId="1">
    <nc r="B348" t="inlineStr">
      <is>
        <t>07</t>
      </is>
    </nc>
  </rcc>
  <rcc rId="2278" sId="1">
    <nc r="C348" t="inlineStr">
      <is>
        <t>02</t>
      </is>
    </nc>
  </rcc>
  <rcc rId="2279" sId="1">
    <nc r="D348" t="inlineStr">
      <is>
        <t>22100 00000</t>
      </is>
    </nc>
  </rcc>
  <rcc rId="2280" sId="1" numFmtId="4">
    <nc r="F348">
      <v>360</v>
    </nc>
  </rcc>
  <rcc rId="2281" sId="1">
    <nc r="B349" t="inlineStr">
      <is>
        <t>07</t>
      </is>
    </nc>
  </rcc>
  <rcc rId="2282" sId="1">
    <nc r="C349" t="inlineStr">
      <is>
        <t>02</t>
      </is>
    </nc>
  </rcc>
  <rcc rId="2283" sId="1">
    <nc r="D349" t="inlineStr">
      <is>
        <t>22101 00000</t>
      </is>
    </nc>
  </rcc>
  <rcc rId="2284" sId="1" numFmtId="4">
    <nc r="F349">
      <v>360</v>
    </nc>
  </rcc>
  <rcc rId="2285" sId="1">
    <nc r="B350" t="inlineStr">
      <is>
        <t>07</t>
      </is>
    </nc>
  </rcc>
  <rcc rId="2286" sId="1">
    <nc r="C350" t="inlineStr">
      <is>
        <t>02</t>
      </is>
    </nc>
  </rcc>
  <rcc rId="2287" sId="1">
    <nc r="D350" t="inlineStr">
      <is>
        <t>22101 85060</t>
      </is>
    </nc>
  </rcc>
  <rcc rId="2288" sId="1" numFmtId="4">
    <nc r="F350">
      <v>360</v>
    </nc>
  </rcc>
  <rcc rId="2289" sId="1">
    <nc r="B351" t="inlineStr">
      <is>
        <t>07</t>
      </is>
    </nc>
  </rcc>
  <rcc rId="2290" sId="1">
    <nc r="C351" t="inlineStr">
      <is>
        <t>02</t>
      </is>
    </nc>
  </rcc>
  <rcc rId="2291" sId="1">
    <nc r="D351" t="inlineStr">
      <is>
        <t>22101 85060</t>
      </is>
    </nc>
  </rcc>
  <rcc rId="2292" sId="1">
    <nc r="E351" t="inlineStr">
      <is>
        <t>611</t>
      </is>
    </nc>
  </rcc>
  <rcc rId="2293" sId="1" numFmtId="4">
    <nc r="F351">
      <v>360</v>
    </nc>
  </rcc>
  <rfmt sheetId="1" sqref="F347" start="0" length="2147483647">
    <dxf>
      <font>
        <b/>
      </font>
    </dxf>
  </rfmt>
  <rcc rId="2294" sId="1">
    <oc r="F308">
      <f>F309+F340</f>
    </oc>
    <nc r="F308">
      <f>F309+F340+F347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2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49" sId="1" xfDxf="1" dxf="1">
    <nc r="A462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ndxf>
      <font>
        <sz val="12"/>
        <color rgb="FF000000"/>
        <name val="Times New Roman"/>
        <scheme val="none"/>
      </font>
      <alignment horizontal="justify" vertical="center" wrapText="1" readingOrder="0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fmt sheetId="1" sqref="A463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50" sId="1" xfDxf="1" dxf="1">
    <nc r="A463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ndxf>
      <font>
        <sz val="12"/>
        <color rgb="FF000000"/>
        <name val="Times New Roman"/>
        <scheme val="none"/>
      </font>
    </ndxf>
  </rcc>
  <rfmt sheetId="1" sqref="A462" start="0" length="2147483647">
    <dxf>
      <font>
        <i/>
      </font>
    </dxf>
  </rfmt>
  <rfmt sheetId="1" sqref="A462" start="0" length="2147483647">
    <dxf>
      <font>
        <sz val="10"/>
      </font>
    </dxf>
  </rfmt>
  <rfmt sheetId="1" sqref="A463" start="0" length="2147483647">
    <dxf>
      <font>
        <sz val="10"/>
      </font>
    </dxf>
  </rfmt>
  <rfmt sheetId="1" sqref="A463" start="0" length="2147483647">
    <dxf>
      <font>
        <i/>
      </font>
    </dxf>
  </rfmt>
  <rcc rId="751" sId="1" odxf="1" dxf="1">
    <nc r="A461" t="inlineStr">
      <is>
        <t>Подпрограмма «Другие вопросы в области физической культуры и спорта»</t>
      </is>
    </nc>
    <odxf>
      <font>
        <b val="0"/>
        <i val="0"/>
        <name val="Times New Roman"/>
        <scheme val="none"/>
      </font>
      <alignment horizontal="left" vertical="top" readingOrder="0"/>
    </odxf>
    <ndxf>
      <font>
        <b/>
        <i/>
        <name val="Times New Roman"/>
        <scheme val="none"/>
      </font>
      <alignment horizontal="general" vertical="center" readingOrder="0"/>
    </ndxf>
  </rcc>
  <rrc rId="752" sId="1" ref="A464:XFD464" action="insertRow"/>
  <rfmt sheetId="1" sqref="A463">
    <dxf>
      <alignment wrapText="1" readingOrder="0"/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функцион.структура!$A$2:$F$505</formula>
    <oldFormula>функцион.структура!$A$2:$F$505</oldFormula>
  </rdn>
  <rdn rId="0" localSheetId="1" customView="1" name="Z_629918FE_B1DF_464A_BF50_03D18729BC02_.wvu.FilterData" hidden="1" oldHidden="1">
    <formula>функцион.структура!$A$17:$K$512</formula>
    <oldFormula>функцион.структура!$A$17:$K$512</oldFormula>
  </rdn>
  <rcv guid="{629918FE-B1DF-464A-BF50-03D18729BC02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5" sId="1" numFmtId="4">
    <oc r="F621">
      <v>2002130.60415</v>
    </oc>
    <nc r="F621"/>
  </rcc>
  <rcc rId="2296" sId="1">
    <oc r="F623">
      <f>F619-F621</f>
    </oc>
    <nc r="F623"/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99" sId="1" ref="A46:XFD46" action="insertRow"/>
  <rcc rId="2300" sId="1">
    <nc r="E46" t="inlineStr">
      <is>
        <t>123</t>
      </is>
    </nc>
  </rcc>
  <rcc rId="2301" sId="1">
    <nc r="B46" t="inlineStr">
      <is>
        <t>01</t>
      </is>
    </nc>
  </rcc>
  <rcc rId="2302" sId="1">
    <nc r="C46" t="inlineStr">
      <is>
        <t>03</t>
      </is>
    </nc>
  </rcc>
  <rcc rId="2303" sId="1">
    <nc r="D46" t="inlineStr">
      <is>
        <t>99900 81030</t>
      </is>
    </nc>
  </rcc>
  <rcc rId="2304" sId="1">
    <nc r="A46" t="inlineStr">
      <is>
    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    </is>
    </nc>
  </rcc>
  <rcc rId="2305" sId="1" numFmtId="4">
    <nc r="F46">
      <v>200</v>
    </nc>
  </rcc>
  <rcc rId="2306" sId="1" numFmtId="4">
    <oc r="F322">
      <v>61025.307739999997</v>
    </oc>
    <nc r="F322">
      <f>61025.30774-200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7" sId="1" numFmtId="4">
    <oc r="F122">
      <v>105</v>
    </oc>
    <nc r="F122">
      <f>105-15</f>
    </nc>
  </rcc>
  <rcc rId="2308" sId="1" numFmtId="4">
    <oc r="F239">
      <v>460</v>
    </oc>
    <nc r="F239">
      <f>460+15</f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0" sId="1" numFmtId="4">
    <oc r="F26">
      <v>1864.7</v>
    </oc>
    <nc r="F26">
      <v>2479.9039499999999</v>
    </nc>
  </rcc>
  <rcc rId="2311" sId="1" numFmtId="4">
    <oc r="F27">
      <v>563.1</v>
    </oc>
    <nc r="F27">
      <v>648.14616000000001</v>
    </nc>
  </rcc>
  <rrc rId="2312" sId="1" ref="A24:XFD24" action="insertRow"/>
  <rrc rId="2313" sId="1" ref="A24:XFD24" action="insertRow"/>
  <rrc rId="2314" sId="1" ref="A25:XFD25" action="insertRow"/>
  <rfmt sheetId="1" sqref="A24" start="0" length="0">
    <dxf>
      <font>
        <b val="0"/>
        <i/>
        <color indexed="8"/>
        <name val="Times New Roman"/>
        <family val="1"/>
      </font>
      <alignment horizontal="general" vertical="top"/>
    </dxf>
  </rfmt>
  <rcc rId="2315" sId="1" odxf="1" dxf="1">
    <nc r="B2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316" sId="1" odxf="1" dxf="1">
    <nc r="C2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4" start="0" length="0">
    <dxf>
      <font>
        <b val="0"/>
        <i/>
        <name val="Times New Roman"/>
        <family val="1"/>
      </font>
    </dxf>
  </rfmt>
  <rfmt sheetId="1" sqref="E24" start="0" length="0">
    <dxf>
      <font>
        <b val="0"/>
        <i/>
        <name val="Times New Roman"/>
        <family val="1"/>
      </font>
    </dxf>
  </rfmt>
  <rcc rId="2317" sId="1" odxf="1" dxf="1">
    <nc r="F24">
      <f>SUM(F25:F26)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318" sId="1" odxf="1" dxf="1">
    <nc r="A2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2319" sId="1" odxf="1" dxf="1">
    <nc r="B2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20" sId="1" odxf="1" dxf="1">
    <nc r="C2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5" start="0" length="0">
    <dxf>
      <font>
        <b val="0"/>
        <name val="Times New Roman"/>
        <family val="1"/>
      </font>
    </dxf>
  </rfmt>
  <rcc rId="2321" sId="1" odxf="1" dxf="1">
    <nc r="E2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22" sId="1" odxf="1" dxf="1">
    <nc r="A2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2323" sId="1" odxf="1" dxf="1">
    <nc r="B2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24" sId="1" odxf="1" dxf="1">
    <nc r="C2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6" start="0" length="0">
    <dxf>
      <font>
        <b val="0"/>
        <name val="Times New Roman"/>
        <family val="1"/>
      </font>
    </dxf>
  </rfmt>
  <rcc rId="2325" sId="1" odxf="1" dxf="1">
    <nc r="E2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6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26" sId="1">
    <nc r="D26" t="inlineStr">
      <is>
        <t>99900 55493</t>
      </is>
    </nc>
  </rcc>
  <rcc rId="2327" sId="1">
    <nc r="D25" t="inlineStr">
      <is>
        <t>99900 55493</t>
      </is>
    </nc>
  </rcc>
  <rcc rId="2328" sId="1" odxf="1" dxf="1">
    <nc r="D24" t="inlineStr">
      <is>
        <t>99900 55493</t>
      </is>
    </nc>
    <ndxf>
      <font>
        <i val="0"/>
        <name val="Times New Roman"/>
        <family val="1"/>
      </font>
    </ndxf>
  </rcc>
  <rfmt sheetId="1" sqref="D24" start="0" length="2147483647">
    <dxf>
      <font>
        <i/>
      </font>
    </dxf>
  </rfmt>
  <rcc rId="2329" sId="1" numFmtId="4">
    <nc r="F25">
      <v>42.344000000000001</v>
    </nc>
  </rcc>
  <rcc rId="2330" sId="1" numFmtId="4">
    <nc r="F26">
      <v>12.787100000000001</v>
    </nc>
  </rcc>
  <rcc rId="2331" sId="1" xfDxf="1" dxf="1">
    <nc r="A24" t="inlineStr">
      <is>
        <t>За достижение показателей деятельности органов исполнительной власти Республики Бурятия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32" sId="1">
    <oc r="F23">
      <f>F27</f>
    </oc>
    <nc r="F23">
      <f>F27+F24</f>
    </nc>
  </rcc>
  <rcc rId="2333" sId="1" numFmtId="4">
    <oc r="F42">
      <v>971.9</v>
    </oc>
    <nc r="F42">
      <v>1192.1790800000001</v>
    </nc>
  </rcc>
  <rcc rId="2334" sId="1" numFmtId="4">
    <oc r="F43">
      <v>89.104990000000001</v>
    </oc>
    <nc r="F43">
      <v>142.84289000000001</v>
    </nc>
  </rcc>
  <rcc rId="2335" sId="1" numFmtId="4">
    <oc r="F44">
      <v>293.5</v>
    </oc>
    <nc r="F44">
      <v>356.59550999999999</v>
    </nc>
  </rcc>
  <rcc rId="2336" sId="1" numFmtId="4">
    <oc r="F46">
      <v>312.81500999999997</v>
    </oc>
    <nc r="F46">
      <v>251.22425000000001</v>
    </nc>
  </rcc>
  <rrc rId="2337" sId="1" ref="A47:XFD47" action="insertRow"/>
  <rcc rId="2338" sId="1">
    <nc r="B47" t="inlineStr">
      <is>
        <t>01</t>
      </is>
    </nc>
  </rcc>
  <rcc rId="2339" sId="1">
    <nc r="C47" t="inlineStr">
      <is>
        <t>03</t>
      </is>
    </nc>
  </rcc>
  <rcc rId="2340" sId="1">
    <nc r="D47" t="inlineStr">
      <is>
        <t>99900 81020</t>
      </is>
    </nc>
  </rcc>
  <rcc rId="2341" sId="1">
    <nc r="E47" t="inlineStr">
      <is>
        <t>853</t>
      </is>
    </nc>
  </rcc>
  <rcc rId="2342" sId="1" numFmtId="4">
    <nc r="F47">
      <v>4.9259999999999998E-2</v>
    </nc>
  </rcc>
  <rcc rId="2343" sId="1">
    <oc r="F41">
      <f>SUM(F42:F46)</f>
    </oc>
    <nc r="F41">
      <f>SUM(F42:F47)</f>
    </nc>
  </rcc>
  <rfmt sheetId="1" sqref="A47">
    <dxf>
      <fill>
        <patternFill>
          <bgColor rgb="FFFFFF00"/>
        </patternFill>
      </fill>
    </dxf>
  </rfmt>
  <rcc rId="2344" sId="1" odxf="1" dxf="1">
    <nc r="A47" t="inlineStr">
      <is>
        <t>Уплата иных платежей</t>
      </is>
    </nc>
    <ndxf>
      <fill>
        <patternFill>
          <bgColor indexed="65"/>
        </patternFill>
      </fill>
      <border outline="0">
        <left/>
      </border>
    </ndxf>
  </rcc>
  <rcc rId="2345" sId="1" numFmtId="4">
    <oc r="F49">
      <v>1491.9</v>
    </oc>
    <nc r="F49">
      <v>1915.15762</v>
    </nc>
  </rcc>
  <rcc rId="2346" sId="1" numFmtId="4">
    <oc r="F50">
      <v>200</v>
    </oc>
    <nc r="F50">
      <v>148.77574999999999</v>
    </nc>
  </rcc>
  <rcc rId="2347" sId="1" numFmtId="4">
    <oc r="F51">
      <v>450.5</v>
    </oc>
    <nc r="F51">
      <v>508.71989000000002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функцион.структура!$A$4:$F$624</formula>
    <oldFormula>функцион.структура!$A$4:$F$624</oldFormula>
  </rdn>
  <rdn rId="0" localSheetId="1" customView="1" name="Z_629918FE_B1DF_464A_BF50_03D18729BC02_.wvu.FilterData" hidden="1" oldHidden="1">
    <formula>функцион.структура!$A$20:$F$631</formula>
    <oldFormula>функцион.структура!$A$20:$F$631</oldFormula>
  </rdn>
  <rcv guid="{629918FE-B1DF-464A-BF50-03D18729BC02}" action="add"/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0" sId="1" ref="A40:XFD40" action="insertRow"/>
  <rrc rId="2351" sId="1" ref="A40:XFD40" action="insertRow"/>
  <rcc rId="2352" sId="1" odxf="1" dxf="1">
    <nc r="A40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2353" sId="1" odxf="1" dxf="1">
    <nc r="B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0" start="0" length="0">
    <dxf>
      <font>
        <i/>
        <name val="Times New Roman"/>
        <family val="1"/>
      </font>
    </dxf>
  </rfmt>
  <rcc rId="2354" sId="1" odxf="1" dxf="1">
    <nc r="D40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" start="0" length="0">
    <dxf>
      <font>
        <i/>
        <name val="Times New Roman"/>
        <family val="1"/>
      </font>
    </dxf>
  </rfmt>
  <rfmt sheetId="1" sqref="F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355" sId="1">
    <nc r="A41" t="inlineStr">
      <is>
        <t>Фонд оплаты труда государственных (муниципальных) органов</t>
      </is>
    </nc>
  </rcc>
  <rcc rId="2356" sId="1">
    <nc r="B41" t="inlineStr">
      <is>
        <t>01</t>
      </is>
    </nc>
  </rcc>
  <rcc rId="2357" sId="1">
    <nc r="D41" t="inlineStr">
      <is>
        <t>99900 55493</t>
      </is>
    </nc>
  </rcc>
  <rcc rId="2358" sId="1">
    <nc r="E41" t="inlineStr">
      <is>
        <t>121</t>
      </is>
    </nc>
  </rcc>
  <rcc rId="2359" sId="1">
    <nc r="C40" t="inlineStr">
      <is>
        <t>03</t>
      </is>
    </nc>
  </rcc>
  <rcc rId="2360" sId="1">
    <nc r="C41" t="inlineStr">
      <is>
        <t>03</t>
      </is>
    </nc>
  </rcc>
  <rcc rId="2361" sId="1" numFmtId="4">
    <nc r="F41">
      <v>49.006599999999999</v>
    </nc>
  </rcc>
  <rcc rId="2362" sId="1">
    <nc r="F40">
      <f>F41</f>
    </nc>
  </rcc>
  <rcc rId="2363" sId="1">
    <oc r="F36">
      <f>F42+F37</f>
    </oc>
    <nc r="F36">
      <f>F42+F37+F40</f>
    </nc>
  </rcc>
  <rrc rId="2364" sId="1" ref="A56:XFD56" action="insertRow"/>
  <rrc rId="2365" sId="1" ref="A56:XFD56" action="insertRow"/>
  <rrc rId="2366" sId="1" ref="A56:XFD56" action="insertRow"/>
  <rcc rId="2367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2368" sId="1" odxf="1" dxf="1">
    <nc r="B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6" start="0" length="0">
    <dxf>
      <font>
        <b val="0"/>
        <i/>
        <name val="Times New Roman"/>
        <family val="1"/>
      </font>
    </dxf>
  </rfmt>
  <rcc rId="2369" sId="1" odxf="1" dxf="1">
    <nc r="D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6" start="0" length="0">
    <dxf>
      <font>
        <b val="0"/>
        <i/>
        <name val="Times New Roman"/>
        <family val="1"/>
      </font>
    </dxf>
  </rfmt>
  <rfmt sheetId="1" sqref="F56" start="0" length="0">
    <dxf>
      <font>
        <b val="0"/>
        <i/>
        <name val="Times New Roman"/>
        <family val="1"/>
      </font>
    </dxf>
  </rfmt>
  <rcc rId="2370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2371" sId="1" odxf="1" dxf="1">
    <nc r="B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7" start="0" length="0">
    <dxf>
      <font>
        <b val="0"/>
        <name val="Times New Roman"/>
        <family val="1"/>
      </font>
    </dxf>
  </rfmt>
  <rcc rId="2372" sId="1" odxf="1" dxf="1">
    <nc r="D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73" sId="1" odxf="1" dxf="1">
    <nc r="E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74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2375" sId="1" odxf="1" dxf="1">
    <nc r="B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8" start="0" length="0">
    <dxf>
      <font>
        <b val="0"/>
        <name val="Times New Roman"/>
        <family val="1"/>
      </font>
    </dxf>
  </rfmt>
  <rcc rId="2376" sId="1" odxf="1" dxf="1">
    <nc r="D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77" sId="1" odxf="1" dxf="1">
    <nc r="E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78" sId="1">
    <nc r="C56" t="inlineStr">
      <is>
        <t>04</t>
      </is>
    </nc>
  </rcc>
  <rcc rId="2379" sId="1">
    <nc r="C57" t="inlineStr">
      <is>
        <t>04</t>
      </is>
    </nc>
  </rcc>
  <rcc rId="2380" sId="1">
    <nc r="C58" t="inlineStr">
      <is>
        <t>04</t>
      </is>
    </nc>
  </rcc>
  <rcc rId="2381" sId="1" numFmtId="4">
    <nc r="F57">
      <v>283.09449999999998</v>
    </nc>
  </rcc>
  <rcc rId="2382" sId="1" numFmtId="4">
    <nc r="F58">
      <v>71.507000000000005</v>
    </nc>
  </rcc>
  <rcc rId="2383" sId="1">
    <nc r="F56">
      <f>SUM(F57:F58)</f>
    </nc>
  </rcc>
  <rcc rId="2384" sId="1">
    <oc r="F55">
      <f>F59+F70</f>
    </oc>
    <nc r="F55">
      <f>F59+F70+F56</f>
    </nc>
  </rcc>
  <rcc rId="2385" sId="1" numFmtId="4">
    <oc r="F61">
      <f>10215.7-3070</f>
    </oc>
    <nc r="F61">
      <v>8756.2701400000005</v>
    </nc>
  </rcc>
  <rcc rId="2386" sId="1" numFmtId="4">
    <oc r="F62">
      <v>1800.8475100000001</v>
    </oc>
    <nc r="F62">
      <v>2564.72901</v>
    </nc>
  </rcc>
  <rcc rId="2387" sId="1" numFmtId="4">
    <oc r="F63">
      <v>36</v>
    </oc>
    <nc r="F63">
      <v>28.08</v>
    </nc>
  </rcc>
  <rcc rId="2388" sId="1" numFmtId="4">
    <oc r="F65">
      <v>292.18045000000001</v>
    </oc>
    <nc r="F65">
      <v>379.20337999999998</v>
    </nc>
  </rcc>
  <rcc rId="2389" sId="1" numFmtId="4">
    <oc r="F66">
      <v>143.21251000000001</v>
    </oc>
    <nc r="F66">
      <v>183.36277000000001</v>
    </nc>
  </rcc>
  <rcc rId="2390" sId="1" numFmtId="4">
    <oc r="F68">
      <v>97.814369999999997</v>
    </oc>
    <nc r="F68">
      <v>0</v>
    </nc>
  </rcc>
  <rrc rId="2391" sId="1" ref="A68:XFD68" action="deleteRow">
    <rfmt sheetId="1" xfDxf="1" sqref="A68:XFD68" start="0" length="0">
      <dxf>
        <font>
          <name val="Times New Roman CYR"/>
          <family val="1"/>
        </font>
        <alignment wrapText="1"/>
      </dxf>
    </rfmt>
    <rcc rId="0" sId="1" dxf="1">
      <nc r="A68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8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92" sId="1">
    <oc r="F60">
      <f>SUM(F61:F68)</f>
    </oc>
    <nc r="F60">
      <f>SUM(F61:F68)</f>
    </nc>
  </rcc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3" sId="1" numFmtId="4">
    <oc r="F85">
      <f>4846.7</f>
    </oc>
    <nc r="F85">
      <v>5574.9570700000004</v>
    </nc>
  </rcc>
  <rcc rId="2394" sId="1" numFmtId="4">
    <oc r="F87">
      <f>1463.7</f>
    </oc>
    <nc r="F87">
      <v>1672.2868000000001</v>
    </nc>
  </rcc>
  <rcc rId="2395" sId="1" numFmtId="4">
    <oc r="F88">
      <v>1199.5</v>
    </oc>
    <nc r="F88">
      <v>1188</v>
    </nc>
  </rcc>
  <rcc rId="2396" sId="1" numFmtId="4">
    <oc r="F89">
      <f>469.4+1.04247</f>
    </oc>
    <nc r="F89">
      <v>592.04246999999998</v>
    </nc>
  </rcc>
  <rcc rId="2397" sId="1" numFmtId="4">
    <oc r="F94">
      <v>300</v>
    </oc>
    <nc r="F94">
      <v>527</v>
    </nc>
  </rcc>
  <rrc rId="2398" sId="1" ref="A95:XFD95" action="insertRow"/>
  <rrc rId="2399" sId="1" ref="A95:XFD95" action="insertRow"/>
  <rrc rId="2400" sId="1" ref="A95:XFD95" action="insertRow"/>
  <rcc rId="2401" sId="1" odxf="1" dxf="1">
    <nc r="A9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2402" sId="1" odxf="1" dxf="1">
    <nc r="B95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95" start="0" length="0">
    <dxf>
      <font>
        <b/>
        <name val="Times New Roman"/>
        <family val="1"/>
      </font>
    </dxf>
  </rfmt>
  <rcc rId="2403" sId="1" odxf="1" dxf="1">
    <nc r="D9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95" start="0" length="0">
    <dxf>
      <font>
        <b/>
        <name val="Times New Roman"/>
        <family val="1"/>
      </font>
    </dxf>
  </rfmt>
  <rcc rId="2404" sId="1" odxf="1" dxf="1">
    <nc r="F95">
      <f>F99+F96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05" sId="1" odxf="1" dxf="1">
    <nc r="A9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2406" sId="1" odxf="1" dxf="1">
    <nc r="B9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96" start="0" length="0">
    <dxf>
      <font>
        <i/>
        <name val="Times New Roman"/>
        <family val="1"/>
      </font>
    </dxf>
  </rfmt>
  <rcc rId="2407" sId="1" odxf="1" dxf="1">
    <nc r="D9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6" start="0" length="0">
    <dxf>
      <font>
        <i/>
        <name val="Times New Roman"/>
        <family val="1"/>
      </font>
    </dxf>
  </rfmt>
  <rfmt sheetId="1" sqref="F9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08" sId="1">
    <nc r="A97" t="inlineStr">
      <is>
        <t>Фонд оплаты труда государственных (муниципальных) органов</t>
      </is>
    </nc>
  </rcc>
  <rcc rId="2409" sId="1">
    <nc r="B97" t="inlineStr">
      <is>
        <t>01</t>
      </is>
    </nc>
  </rcc>
  <rcc rId="2410" sId="1">
    <nc r="D97" t="inlineStr">
      <is>
        <t>99900 55493</t>
      </is>
    </nc>
  </rcc>
  <rcc rId="2411" sId="1">
    <nc r="E97" t="inlineStr">
      <is>
        <t>121</t>
      </is>
    </nc>
  </rcc>
  <rcc rId="2412" sId="1">
    <nc r="C95" t="inlineStr">
      <is>
        <t>06</t>
      </is>
    </nc>
  </rcc>
  <rrc rId="2413" sId="1" ref="A95:XFD95" action="deleteRow">
    <rfmt sheetId="1" xfDxf="1" sqref="A95:XFD95" start="0" length="0">
      <dxf>
        <font>
          <i/>
          <name val="Times New Roman CYR"/>
          <family val="1"/>
        </font>
        <alignment wrapText="1"/>
      </dxf>
    </rfmt>
    <rcc rId="0" sId="1" dxf="1">
      <nc r="A95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5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5">
        <f>F99+F96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414" sId="1" numFmtId="4">
    <nc r="F96">
      <v>44.205100000000002</v>
    </nc>
  </rcc>
  <rcc rId="2415" sId="1">
    <nc r="F95">
      <f>F96</f>
    </nc>
  </rcc>
  <rcc rId="2416" sId="1">
    <oc r="F90">
      <f>F91</f>
    </oc>
    <nc r="F90">
      <f>F91+F95</f>
    </nc>
  </rcc>
  <rcc rId="2417" sId="1">
    <nc r="C95" t="inlineStr">
      <is>
        <t>06</t>
      </is>
    </nc>
  </rcc>
  <rcc rId="2418" sId="1">
    <nc r="C96" t="inlineStr">
      <is>
        <t>06</t>
      </is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 numFmtId="4">
    <oc r="F99">
      <f>742.5+1702.7</f>
    </oc>
    <nc r="F99">
      <v>2810.2</v>
    </nc>
  </rcc>
  <rcc rId="2420" sId="1" numFmtId="4">
    <oc r="F103">
      <v>0</v>
    </oc>
    <nc r="F103">
      <v>50</v>
    </nc>
  </rcc>
  <rcc rId="2421" sId="1" numFmtId="4">
    <oc r="F108">
      <v>100</v>
    </oc>
    <nc r="F108">
      <v>50</v>
    </nc>
  </rcc>
  <rcc rId="2422" sId="1" numFmtId="4">
    <oc r="F119">
      <v>3520.6696200000001</v>
    </oc>
    <nc r="F119">
      <v>4784.8696200000004</v>
    </nc>
  </rcc>
  <rcc rId="2423" sId="1" numFmtId="4">
    <oc r="F120">
      <v>7.2</v>
    </oc>
    <nc r="F120">
      <v>12.2</v>
    </nc>
  </rcc>
  <rcc rId="2424" sId="1" numFmtId="4">
    <oc r="F121">
      <v>802.20330999999999</v>
    </oc>
    <nc r="F121">
      <v>1424.6268399999999</v>
    </nc>
  </rcc>
  <rcc rId="2425" sId="1" numFmtId="4">
    <oc r="F124">
      <v>183.989</v>
    </oc>
    <nc r="F124">
      <v>185.18799999999999</v>
    </nc>
  </rcc>
  <rrc rId="2426" sId="1" ref="A128:XFD128" action="insertRow"/>
  <rfmt sheetId="1" sqref="A128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2427" sId="1" odxf="1" dxf="1">
    <nc r="B12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28" sId="1" odxf="1" dxf="1">
    <nc r="C128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29" sId="1" odxf="1" dxf="1">
    <nc r="D128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28" start="0" length="0">
    <dxf>
      <font>
        <i val="0"/>
        <name val="Times New Roman"/>
        <family val="1"/>
      </font>
    </dxf>
  </rfmt>
  <rcc rId="2430" sId="1" odxf="1" dxf="1" numFmtId="4">
    <nc r="F128">
      <v>53.364960000000004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31" sId="1">
    <nc r="E128" t="inlineStr">
      <is>
        <t>243</t>
      </is>
    </nc>
  </rcc>
  <rcc rId="2432" sId="1" numFmtId="4">
    <oc r="F129">
      <v>460.18700000000001</v>
    </oc>
    <nc r="F129">
      <v>191.58799999999999</v>
    </nc>
  </rcc>
  <rcc rId="2433" sId="1">
    <oc r="F127">
      <f>SUM(F129:F129)</f>
    </oc>
    <nc r="F127">
      <f>F128+F129</f>
    </nc>
  </rcc>
  <rfmt sheetId="1" sqref="A128">
    <dxf>
      <fill>
        <patternFill>
          <bgColor rgb="FFFFFF00"/>
        </patternFill>
      </fill>
    </dxf>
  </rfmt>
  <rcc rId="2434" sId="1" odxf="1" dxf="1">
    <nc r="A128" t="inlineStr">
      <is>
        <t>Закупка товаров, работ, услуг в целях капитального ремонта государственного (муниципального) имущества</t>
      </is>
    </nc>
    <ndxf>
      <fill>
        <patternFill patternType="none">
          <bgColor indexed="65"/>
        </patternFill>
      </fill>
    </ndxf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5" sId="1" numFmtId="4">
    <oc r="F133">
      <f>105-15</f>
    </oc>
    <nc r="F133">
      <v>80</v>
    </nc>
  </rcc>
  <rrc rId="2436" sId="1" ref="A134:XFD134" action="insertRow"/>
  <rfmt sheetId="1" sqref="A13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37" sId="1">
    <nc r="B134" t="inlineStr">
      <is>
        <t>01</t>
      </is>
    </nc>
  </rcc>
  <rcc rId="2438" sId="1">
    <nc r="C134" t="inlineStr">
      <is>
        <t>13</t>
      </is>
    </nc>
  </rcc>
  <rcc rId="2439" sId="1">
    <nc r="D134" t="inlineStr">
      <is>
        <t>05001 82900</t>
      </is>
    </nc>
  </rcc>
  <rcc rId="2440" sId="1">
    <nc r="E134" t="inlineStr">
      <is>
        <t>853</t>
      </is>
    </nc>
  </rcc>
  <rcc rId="2441" sId="1" numFmtId="4">
    <nc r="F134">
      <v>10</v>
    </nc>
  </rcc>
  <rcc rId="2442" sId="1">
    <oc r="F132">
      <f>F133</f>
    </oc>
    <nc r="F132">
      <f>F133+F134</f>
    </nc>
  </rcc>
  <rcc rId="2443" sId="1" odxf="1" dxf="1">
    <nc r="A134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4" sId="1" ref="A147:XFD147" action="insertRow"/>
  <rrc rId="2445" sId="1" ref="A147:XFD147" action="insertRow"/>
  <rrc rId="2446" sId="1" ref="A148:XFD148" action="insertRow"/>
  <rrc rId="2447" sId="1" ref="A147:XFD147" action="insertRow"/>
  <rrc rId="2448" sId="1" ref="A149:XFD149" action="insertRow"/>
  <rfmt sheetId="1" sqref="A147" start="0" length="0">
    <dxf>
      <font>
        <b/>
        <color indexed="8"/>
        <name val="Times New Roman"/>
        <family val="1"/>
      </font>
      <fill>
        <patternFill patternType="none"/>
      </fill>
    </dxf>
  </rfmt>
  <rfmt sheetId="1" sqref="B147" start="0" length="0">
    <dxf>
      <font>
        <b/>
        <name val="Times New Roman"/>
        <family val="1"/>
      </font>
    </dxf>
  </rfmt>
  <rfmt sheetId="1" sqref="C147" start="0" length="0">
    <dxf>
      <font>
        <b/>
        <name val="Times New Roman"/>
        <family val="1"/>
      </font>
    </dxf>
  </rfmt>
  <rfmt sheetId="1" sqref="D147" start="0" length="0">
    <dxf>
      <font>
        <b/>
        <name val="Times New Roman"/>
        <family val="1"/>
      </font>
    </dxf>
  </rfmt>
  <rfmt sheetId="1" sqref="E147" start="0" length="0">
    <dxf>
      <font>
        <b/>
        <name val="Times New Roman"/>
        <family val="1"/>
      </font>
    </dxf>
  </rfmt>
  <rfmt sheetId="1" sqref="F14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48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2449" sId="1" odxf="1" dxf="1">
    <nc r="B1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50" sId="1" odxf="1" dxf="1">
    <nc r="C14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51" sId="1" odxf="1" dxf="1">
    <nc r="D14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fmt sheetId="1" sqref="F1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2" sId="1">
    <nc r="B149" t="inlineStr">
      <is>
        <t>01</t>
      </is>
    </nc>
  </rcc>
  <rcc rId="2453" sId="1">
    <nc r="C149" t="inlineStr">
      <is>
        <t>02</t>
      </is>
    </nc>
  </rcc>
  <rcc rId="2454" sId="1">
    <nc r="D149" t="inlineStr">
      <is>
        <t>99900 55493</t>
      </is>
    </nc>
  </rcc>
  <rcc rId="2455" sId="1" odxf="1" dxf="1">
    <nc r="A147" t="inlineStr">
      <is>
        <t>За достижение показателей деятельности органов исполнительной власти Республики Бурятия</t>
      </is>
    </nc>
    <ndxf>
      <font>
        <b val="0"/>
        <i/>
        <color indexed="8"/>
        <name val="Times New Roman"/>
        <family val="1"/>
      </font>
      <alignment horizontal="general" vertical="top"/>
    </ndxf>
  </rcc>
  <rcc rId="2456" sId="1" odxf="1" dxf="1">
    <nc r="B147" t="inlineStr">
      <is>
        <t>01</t>
      </is>
    </nc>
    <ndxf>
      <font>
        <b val="0"/>
        <i/>
        <name val="Times New Roman"/>
        <family val="1"/>
      </font>
    </ndxf>
  </rcc>
  <rcc rId="2457" sId="1" odxf="1" dxf="1">
    <nc r="C147" t="inlineStr">
      <is>
        <t>02</t>
      </is>
    </nc>
    <ndxf>
      <font>
        <b val="0"/>
        <i/>
        <name val="Times New Roman"/>
        <family val="1"/>
      </font>
    </ndxf>
  </rcc>
  <rcc rId="2458" sId="1" odxf="1" dxf="1">
    <nc r="D147" t="inlineStr">
      <is>
        <t>99900 55493</t>
      </is>
    </nc>
    <ndxf>
      <font>
        <b val="0"/>
        <i/>
        <name val="Times New Roman"/>
        <family val="1"/>
      </font>
    </ndxf>
  </rcc>
  <rfmt sheetId="1" sqref="E147" start="0" length="0">
    <dxf>
      <font>
        <b val="0"/>
        <i/>
        <name val="Times New Roman"/>
        <family val="1"/>
      </font>
    </dxf>
  </rfmt>
  <rfmt sheetId="1" sqref="F147" start="0" length="0">
    <dxf>
      <font>
        <b val="0"/>
        <i/>
        <name val="Times New Roman"/>
        <family val="1"/>
      </font>
    </dxf>
  </rfmt>
  <rcc rId="2459" sId="1">
    <nc r="E151" t="inlineStr">
      <is>
        <t>129</t>
      </is>
    </nc>
  </rcc>
  <rcc rId="2460" sId="1">
    <nc r="D151" t="inlineStr">
      <is>
        <t>99900 55493</t>
      </is>
    </nc>
  </rcc>
  <rcc rId="2461" sId="1">
    <nc r="C151" t="inlineStr">
      <is>
        <t>02</t>
      </is>
    </nc>
  </rcc>
  <rcc rId="2462" sId="1">
    <nc r="B151" t="inlineStr">
      <is>
        <t>01</t>
      </is>
    </nc>
  </rcc>
  <rcc rId="2463" sId="1">
    <nc r="A15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464" sId="1">
    <nc r="E150" t="inlineStr">
      <is>
        <t>121</t>
      </is>
    </nc>
  </rcc>
  <rcc rId="2465" sId="1">
    <nc r="D150" t="inlineStr">
      <is>
        <t>99900 55493</t>
      </is>
    </nc>
  </rcc>
  <rcc rId="2466" sId="1">
    <nc r="C150" t="inlineStr">
      <is>
        <t>02</t>
      </is>
    </nc>
  </rcc>
  <rcc rId="2467" sId="1">
    <nc r="B150" t="inlineStr">
      <is>
        <t>01</t>
      </is>
    </nc>
  </rcc>
  <rcc rId="2468" sId="1">
    <nc r="A150" t="inlineStr">
      <is>
        <t>Фонд оплаты труда государственных (муниципальных) органов</t>
      </is>
    </nc>
  </rcc>
  <rcc rId="2469" sId="1" odxf="1" dxf="1">
    <nc r="E148" t="inlineStr">
      <is>
        <t>111</t>
      </is>
    </nc>
    <ndxf>
      <font>
        <i val="0"/>
        <name val="Times New Roman"/>
        <family val="1"/>
      </font>
    </ndxf>
  </rcc>
  <rcc rId="2470" sId="1">
    <nc r="E149" t="inlineStr">
      <is>
        <t>119</t>
      </is>
    </nc>
  </rcc>
  <rfmt sheetId="1" sqref="A148:F149" start="0" length="2147483647">
    <dxf>
      <font>
        <i val="0"/>
      </font>
    </dxf>
  </rfmt>
  <rcc rId="2471" sId="1" odxf="1" dxf="1">
    <nc r="A148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alignment horizontal="left"/>
    </ndxf>
  </rcc>
  <rcc rId="2472" sId="1">
    <nc r="A14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473" sId="1" numFmtId="4">
    <nc r="F148">
      <v>125.652</v>
    </nc>
  </rcc>
  <rcc rId="2474" sId="1" numFmtId="4">
    <nc r="F149">
      <v>30.953399999999998</v>
    </nc>
  </rcc>
  <rcc rId="2475" sId="1" numFmtId="4">
    <nc r="F150">
      <v>27.562999999999999</v>
    </nc>
  </rcc>
  <rcc rId="2476" sId="1" numFmtId="4">
    <nc r="F151">
      <v>8.3240999999999996</v>
    </nc>
  </rcc>
  <rcc rId="2477" sId="1">
    <nc r="F147">
      <f>SUM(F148:F151)</f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8" sId="1" ref="A152:XFD152" action="insertRow"/>
  <rcc rId="2479" sId="1">
    <nc r="B152" t="inlineStr">
      <is>
        <t>01</t>
      </is>
    </nc>
  </rcc>
  <rcc rId="2480" sId="1">
    <nc r="D152" t="inlineStr">
      <is>
        <t>99900 55493</t>
      </is>
    </nc>
  </rcc>
  <rcc rId="2481" sId="1">
    <nc r="E152" t="inlineStr">
      <is>
        <t>621</t>
      </is>
    </nc>
  </rcc>
  <rcc rId="2482" sId="1" numFmtId="4">
    <nc r="F152">
      <v>32.523400000000002</v>
    </nc>
  </rcc>
  <rcc rId="2483" sId="1">
    <oc r="F147">
      <f>SUM(F148:F151)</f>
    </oc>
    <nc r="F147">
      <f>SUM(F148:F152)</f>
    </nc>
  </rcc>
  <rcc rId="2484" sId="1" numFmtId="4">
    <oc r="F155">
      <v>583.654</v>
    </oc>
    <nc r="F155">
      <v>649.29899999999998</v>
    </nc>
  </rcc>
  <rcc rId="2485" sId="1" numFmtId="4">
    <oc r="F154">
      <v>65.644999999999996</v>
    </oc>
    <nc r="F154"/>
  </rcc>
  <rrc rId="2486" sId="1" ref="A154:XFD154" action="deleteRow">
    <undo index="0" exp="ref" v="1" dr="F154" r="F153" sId="1"/>
    <rfmt sheetId="1" xfDxf="1" sqref="A154:XFD154" start="0" length="0">
      <dxf>
        <font>
          <name val="Times New Roman CYR"/>
          <family val="1"/>
        </font>
        <alignment wrapText="1"/>
      </dxf>
    </rfmt>
    <rcc rId="0" sId="1" dxf="1">
      <nc r="A15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4" t="inlineStr">
        <is>
          <t>99900 71090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87" sId="1">
    <oc r="F153">
      <f>#REF!+F154</f>
    </oc>
    <nc r="F153">
      <f>F154</f>
    </nc>
  </rcc>
  <rcc rId="2488" sId="1" odxf="1" dxf="1">
    <nc r="A15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rc rId="2489" sId="1" ref="A162:XFD162" action="insertRow"/>
  <rcc rId="2490" sId="1">
    <nc r="B162" t="inlineStr">
      <is>
        <t>01</t>
      </is>
    </nc>
  </rcc>
  <rcc rId="2491" sId="1">
    <nc r="C162" t="inlineStr">
      <is>
        <t>13</t>
      </is>
    </nc>
  </rcc>
  <rcc rId="2492" sId="1">
    <nc r="D162" t="inlineStr">
      <is>
        <t>99900 73110</t>
      </is>
    </nc>
  </rcc>
  <rcc rId="2493" sId="1">
    <nc r="E162" t="inlineStr">
      <is>
        <t>122</t>
      </is>
    </nc>
  </rcc>
  <rcc rId="2494" sId="1" numFmtId="4">
    <nc r="F162">
      <v>3.82</v>
    </nc>
  </rcc>
  <rcc rId="2495" sId="1" numFmtId="4">
    <oc r="F165">
      <v>45.26</v>
    </oc>
    <nc r="F165">
      <v>41.44</v>
    </nc>
  </rcc>
  <rcc rId="2496" sId="1" odxf="1" dxf="1">
    <nc r="A162" t="inlineStr">
      <is>
        <t>Иные выплаты персоналу, за исключением фонда оплаты труда</t>
      </is>
    </nc>
    <ndxf>
      <fill>
        <patternFill patternType="solid"/>
      </fill>
    </ndxf>
  </rcc>
  <rcc rId="2497" sId="1" numFmtId="4">
    <oc r="F172">
      <v>172.8</v>
    </oc>
    <nc r="F172">
      <v>220.13181</v>
    </nc>
  </rcc>
  <rcc rId="2498" sId="1" numFmtId="4">
    <oc r="F174">
      <f>2727.8+481.1+459</f>
    </oc>
    <nc r="F174">
      <v>7475.68858</v>
    </nc>
  </rcc>
  <rcc rId="2499" sId="1" numFmtId="4">
    <oc r="F177">
      <v>10000.5</v>
    </oc>
    <nc r="F177">
      <v>10862.504639999999</v>
    </nc>
  </rcc>
  <rcc rId="2500" sId="1" numFmtId="4">
    <oc r="F178">
      <v>224.65177</v>
    </oc>
    <nc r="F178">
      <v>382.61676999999997</v>
    </nc>
  </rcc>
  <rcc rId="2501" sId="1" numFmtId="4">
    <oc r="F179">
      <v>2883.8732300000001</v>
    </oc>
    <nc r="F179">
      <v>3194.3247299999998</v>
    </nc>
  </rcc>
  <rcc rId="2502" sId="1" numFmtId="4">
    <oc r="F180">
      <v>689.70500000000004</v>
    </oc>
    <nc r="F180">
      <v>807.64300000000003</v>
    </nc>
  </rcc>
  <rcc rId="2503" sId="1" numFmtId="4">
    <oc r="F181">
      <v>5657.8112000000001</v>
    </oc>
    <nc r="F181">
      <v>6748.0847000000003</v>
    </nc>
  </rcc>
  <rcc rId="2504" sId="1" numFmtId="4">
    <oc r="F182">
      <v>1522.5</v>
    </oc>
    <nc r="F182">
      <v>2022.5</v>
    </nc>
  </rcc>
  <rcc rId="2505" sId="1" numFmtId="4">
    <oc r="F183">
      <v>1</v>
    </oc>
    <nc r="F183">
      <v>7.0381299999999998</v>
    </nc>
  </rcc>
  <rcc rId="2506" sId="1" numFmtId="4">
    <oc r="F186">
      <v>54.5</v>
    </oc>
    <nc r="F186">
      <v>58.5</v>
    </nc>
  </rcc>
  <rcc rId="2507" sId="1" numFmtId="4">
    <oc r="F188">
      <v>340</v>
    </oc>
    <nc r="F188">
      <v>490</v>
    </nc>
  </rcc>
  <rcc rId="2508" sId="1" numFmtId="4">
    <oc r="F190">
      <v>9050.1527800000003</v>
    </oc>
    <nc r="F190">
      <v>8991.5393000000004</v>
    </nc>
  </rcc>
  <rrc rId="2509" sId="1" ref="A212:XFD212" action="insertRow"/>
  <rrc rId="2510" sId="1" ref="A212:XFD212" action="insertRow"/>
  <rrc rId="2511" sId="1" ref="A212:XFD212" action="insertRow"/>
  <rcc rId="2512" sId="1" odxf="1" dxf="1">
    <nc r="A212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fmt sheetId="1" sqref="B212" start="0" length="0">
    <dxf>
      <font>
        <b val="0"/>
        <i/>
        <name val="Times New Roman"/>
        <family val="1"/>
      </font>
    </dxf>
  </rfmt>
  <rfmt sheetId="1" sqref="C212" start="0" length="0">
    <dxf>
      <font>
        <b val="0"/>
        <i/>
        <name val="Times New Roman"/>
        <family val="1"/>
      </font>
    </dxf>
  </rfmt>
  <rcc rId="2513" sId="1" odxf="1" dxf="1">
    <nc r="D212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1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12" start="0" length="0">
    <dxf>
      <font>
        <b val="0"/>
        <i/>
        <name val="Times New Roman"/>
        <family val="1"/>
      </font>
      <alignment vertical="center"/>
    </dxf>
  </rfmt>
  <rcc rId="2514" sId="1" odxf="1" dxf="1">
    <nc r="A213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fmt sheetId="1" sqref="B213" start="0" length="0">
    <dxf>
      <font>
        <b val="0"/>
        <name val="Times New Roman"/>
        <family val="1"/>
      </font>
    </dxf>
  </rfmt>
  <rfmt sheetId="1" sqref="C213" start="0" length="0">
    <dxf>
      <font>
        <b val="0"/>
        <name val="Times New Roman"/>
        <family val="1"/>
      </font>
    </dxf>
  </rfmt>
  <rcc rId="2515" sId="1" odxf="1" dxf="1">
    <nc r="D21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16" sId="1" odxf="1" dxf="1">
    <nc r="E213" t="inlineStr">
      <is>
        <t>111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13" start="0" length="0">
    <dxf>
      <font>
        <b val="0"/>
        <name val="Times New Roman"/>
        <family val="1"/>
      </font>
      <alignment vertical="center"/>
    </dxf>
  </rfmt>
  <rcc rId="2517" sId="1" odxf="1" dxf="1">
    <nc r="A21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fmt sheetId="1" sqref="B214" start="0" length="0">
    <dxf>
      <font>
        <b val="0"/>
        <name val="Times New Roman"/>
        <family val="1"/>
      </font>
    </dxf>
  </rfmt>
  <rfmt sheetId="1" sqref="C214" start="0" length="0">
    <dxf>
      <font>
        <b val="0"/>
        <name val="Times New Roman"/>
        <family val="1"/>
      </font>
    </dxf>
  </rfmt>
  <rcc rId="2518" sId="1" odxf="1" dxf="1">
    <nc r="D214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19" sId="1" odxf="1" dxf="1">
    <nc r="E214" t="inlineStr">
      <is>
        <t>119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14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dxf>
  </rfmt>
  <rcc rId="2520" sId="1" numFmtId="4">
    <nc r="F213">
      <v>2.9</v>
    </nc>
  </rcc>
  <rcc rId="2521" sId="1" numFmtId="4">
    <nc r="F214">
      <v>0.87580000000000002</v>
    </nc>
  </rcc>
  <rcc rId="2522" sId="1">
    <nc r="F212">
      <f>SUM(F213:F214)</f>
    </nc>
  </rcc>
  <rcc rId="2523" sId="1">
    <nc r="B212" t="inlineStr">
      <is>
        <t>04</t>
      </is>
    </nc>
  </rcc>
  <rcc rId="2524" sId="1">
    <nc r="C212" t="inlineStr">
      <is>
        <t>05</t>
      </is>
    </nc>
  </rcc>
  <rcc rId="2525" sId="1">
    <nc r="B213" t="inlineStr">
      <is>
        <t>04</t>
      </is>
    </nc>
  </rcc>
  <rcc rId="2526" sId="1">
    <nc r="C213" t="inlineStr">
      <is>
        <t>05</t>
      </is>
    </nc>
  </rcc>
  <rcc rId="2527" sId="1">
    <nc r="B214" t="inlineStr">
      <is>
        <t>04</t>
      </is>
    </nc>
  </rcc>
  <rcc rId="2528" sId="1">
    <nc r="C214" t="inlineStr">
      <is>
        <t>05</t>
      </is>
    </nc>
  </rcc>
  <rcc rId="2529" sId="1">
    <oc r="C147" t="inlineStr">
      <is>
        <t>02</t>
      </is>
    </oc>
    <nc r="C147" t="inlineStr">
      <is>
        <t>13</t>
      </is>
    </nc>
  </rcc>
  <rcc rId="2530" sId="1">
    <oc r="C148" t="inlineStr">
      <is>
        <t>02</t>
      </is>
    </oc>
    <nc r="C148" t="inlineStr">
      <is>
        <t>13</t>
      </is>
    </nc>
  </rcc>
  <rcc rId="2531" sId="1">
    <oc r="C149" t="inlineStr">
      <is>
        <t>02</t>
      </is>
    </oc>
    <nc r="C149" t="inlineStr">
      <is>
        <t>13</t>
      </is>
    </nc>
  </rcc>
  <rcc rId="2532" sId="1">
    <oc r="C150" t="inlineStr">
      <is>
        <t>02</t>
      </is>
    </oc>
    <nc r="C150" t="inlineStr">
      <is>
        <t>13</t>
      </is>
    </nc>
  </rcc>
  <rcc rId="2533" sId="1">
    <oc r="C151" t="inlineStr">
      <is>
        <t>02</t>
      </is>
    </oc>
    <nc r="C151" t="inlineStr">
      <is>
        <t>13</t>
      </is>
    </nc>
  </rcc>
  <rcc rId="2534" sId="1">
    <nc r="C152" t="inlineStr">
      <is>
        <t>13</t>
      </is>
    </nc>
  </rcc>
  <rcc rId="2535" sId="1" numFmtId="4">
    <oc r="F232">
      <v>1066.24</v>
    </oc>
    <nc r="F232">
      <v>1156.8364999999999</v>
    </nc>
  </rcc>
  <rcc rId="2536" sId="1" numFmtId="4">
    <oc r="F233">
      <v>55.06</v>
    </oc>
    <nc r="F233">
      <v>58.06</v>
    </nc>
  </rcc>
  <rcc rId="2537" sId="1" numFmtId="4">
    <oc r="F234">
      <v>292.3</v>
    </oc>
    <nc r="F234">
      <v>344.9</v>
    </nc>
  </rcc>
  <rcc rId="2538" sId="1" numFmtId="4">
    <oc r="F235">
      <v>54</v>
    </oc>
    <nc r="F235">
      <v>57</v>
    </nc>
  </rcc>
  <rcc rId="2539" sId="1" numFmtId="4">
    <oc r="F236">
      <v>27.5</v>
    </oc>
    <nc r="F236">
      <v>72.403499999999994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5" sId="1" ref="A464:XFD464" action="deleteRow">
    <rfmt sheetId="1" xfDxf="1" sqref="A464:XFD464" start="0" length="0">
      <dxf>
        <font>
          <name val="Times New Roman CYR"/>
          <scheme val="none"/>
        </font>
        <alignment wrapText="1" readingOrder="0"/>
      </dxf>
    </rfmt>
    <rfmt sheetId="1" sqref="A464" start="0" length="0">
      <dxf>
        <font>
          <i/>
          <color rgb="FF000000"/>
          <name val="Times New Roman"/>
          <scheme val="none"/>
        </font>
        <alignment vertical="bottom" wrapText="0" readingOrder="0"/>
      </dxf>
    </rfmt>
    <rfmt sheetId="1" sqref="B46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4" start="0" length="0">
      <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4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4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4" start="0" length="0">
      <dxf>
        <fill>
          <patternFill patternType="solid">
            <bgColor rgb="FFFFFF00"/>
          </patternFill>
        </fill>
      </dxf>
    </rfmt>
  </rrc>
  <rcc rId="756" sId="1" numFmtId="4">
    <nc r="F463">
      <v>25156.799999999999</v>
    </nc>
  </rcc>
  <rfmt sheetId="1" sqref="F463">
    <dxf>
      <fill>
        <patternFill>
          <bgColor rgb="FFFFFF00"/>
        </patternFill>
      </fill>
    </dxf>
  </rfmt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40" sId="1" ref="A242:XFD246" action="insertRow"/>
  <rcc rId="2541" sId="1" odxf="1" dxf="1">
    <nc r="A242" t="inlineStr">
      <is>
        <t>Водное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542" sId="1" odxf="1" dxf="1">
    <nc r="B24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543" sId="1" odxf="1" dxf="1">
    <nc r="F242">
      <f>F243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theme="8" tint="0.79998168889431442"/>
        </patternFill>
      </fill>
    </ndxf>
  </rcc>
  <rfmt sheetId="1" sqref="G242" start="0" length="0">
    <dxf>
      <font>
        <i/>
        <name val="Times New Roman CYR"/>
        <family val="1"/>
      </font>
    </dxf>
  </rfmt>
  <rfmt sheetId="1" sqref="H242" start="0" length="0">
    <dxf>
      <font>
        <i/>
        <name val="Times New Roman CYR"/>
        <family val="1"/>
      </font>
    </dxf>
  </rfmt>
  <rfmt sheetId="1" sqref="I242" start="0" length="0">
    <dxf>
      <font>
        <i/>
        <name val="Times New Roman CYR"/>
        <family val="1"/>
      </font>
    </dxf>
  </rfmt>
  <rfmt sheetId="1" sqref="J242" start="0" length="0">
    <dxf>
      <font>
        <i/>
        <name val="Times New Roman CYR"/>
        <family val="1"/>
      </font>
    </dxf>
  </rfmt>
  <rfmt sheetId="1" sqref="K242" start="0" length="0">
    <dxf>
      <font>
        <i/>
        <name val="Times New Roman CYR"/>
        <family val="1"/>
      </font>
    </dxf>
  </rfmt>
  <rfmt sheetId="1" sqref="L242" start="0" length="0">
    <dxf>
      <font>
        <i/>
        <name val="Times New Roman CYR"/>
        <family val="1"/>
      </font>
    </dxf>
  </rfmt>
  <rfmt sheetId="1" sqref="M242" start="0" length="0">
    <dxf>
      <font>
        <i/>
        <name val="Times New Roman CYR"/>
        <family val="1"/>
      </font>
    </dxf>
  </rfmt>
  <rfmt sheetId="1" sqref="N242" start="0" length="0">
    <dxf>
      <font>
        <i/>
        <name val="Times New Roman CYR"/>
        <family val="1"/>
      </font>
    </dxf>
  </rfmt>
  <rfmt sheetId="1" sqref="O242" start="0" length="0">
    <dxf>
      <font>
        <i/>
        <name val="Times New Roman CYR"/>
        <family val="1"/>
      </font>
    </dxf>
  </rfmt>
  <rfmt sheetId="1" sqref="A242:XFD242" start="0" length="0">
    <dxf>
      <font>
        <i/>
        <name val="Times New Roman CYR"/>
        <family val="1"/>
      </font>
    </dxf>
  </rfmt>
  <rfmt sheetId="1" sqref="A243" start="0" length="0">
    <dxf>
      <font>
        <b/>
        <name val="Times New Roman"/>
        <family val="1"/>
      </font>
      <alignment horizontal="general" vertical="top"/>
    </dxf>
  </rfmt>
  <rcc rId="2544" sId="1" odxf="1" dxf="1">
    <nc r="B243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43" start="0" length="0">
    <dxf>
      <font>
        <b/>
        <name val="Times New Roman"/>
        <family val="1"/>
      </font>
    </dxf>
  </rfmt>
  <rfmt sheetId="1" sqref="D243" start="0" length="0">
    <dxf>
      <font>
        <b/>
        <name val="Times New Roman"/>
        <family val="1"/>
      </font>
    </dxf>
  </rfmt>
  <rfmt sheetId="1" sqref="E243" start="0" length="0">
    <dxf>
      <font>
        <b/>
        <name val="Times New Roman"/>
        <family val="1"/>
      </font>
    </dxf>
  </rfmt>
  <rcc rId="2545" sId="1" odxf="1" dxf="1">
    <nc r="F243">
      <f>F244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243" start="0" length="0">
    <dxf>
      <font>
        <i/>
        <name val="Times New Roman CYR"/>
        <family val="1"/>
      </font>
    </dxf>
  </rfmt>
  <rfmt sheetId="1" sqref="H243" start="0" length="0">
    <dxf>
      <font>
        <i/>
        <name val="Times New Roman CYR"/>
        <family val="1"/>
      </font>
    </dxf>
  </rfmt>
  <rfmt sheetId="1" sqref="I243" start="0" length="0">
    <dxf>
      <font>
        <i/>
        <name val="Times New Roman CYR"/>
        <family val="1"/>
      </font>
    </dxf>
  </rfmt>
  <rfmt sheetId="1" sqref="J243" start="0" length="0">
    <dxf>
      <font>
        <i/>
        <name val="Times New Roman CYR"/>
        <family val="1"/>
      </font>
    </dxf>
  </rfmt>
  <rfmt sheetId="1" sqref="K243" start="0" length="0">
    <dxf>
      <font>
        <i/>
        <name val="Times New Roman CYR"/>
        <family val="1"/>
      </font>
    </dxf>
  </rfmt>
  <rfmt sheetId="1" sqref="L243" start="0" length="0">
    <dxf>
      <font>
        <i/>
        <name val="Times New Roman CYR"/>
        <family val="1"/>
      </font>
    </dxf>
  </rfmt>
  <rfmt sheetId="1" sqref="M243" start="0" length="0">
    <dxf>
      <font>
        <i/>
        <name val="Times New Roman CYR"/>
        <family val="1"/>
      </font>
    </dxf>
  </rfmt>
  <rfmt sheetId="1" sqref="N243" start="0" length="0">
    <dxf>
      <font>
        <i/>
        <name val="Times New Roman CYR"/>
        <family val="1"/>
      </font>
    </dxf>
  </rfmt>
  <rfmt sheetId="1" sqref="O243" start="0" length="0">
    <dxf>
      <font>
        <i/>
        <name val="Times New Roman CYR"/>
        <family val="1"/>
      </font>
    </dxf>
  </rfmt>
  <rfmt sheetId="1" sqref="A243:XFD243" start="0" length="0">
    <dxf>
      <font>
        <i/>
        <name val="Times New Roman CYR"/>
        <family val="1"/>
      </font>
    </dxf>
  </rfmt>
  <rcc rId="2546" sId="1" odxf="1" dxf="1">
    <nc r="A244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2547" sId="1" odxf="1" dxf="1">
    <nc r="B24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548" sId="1" odxf="1" dxf="1">
    <nc r="C244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549" sId="1" odxf="1" dxf="1">
    <nc r="D244" t="inlineStr">
      <is>
        <t>18001 00000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4" start="0" length="0">
    <dxf>
      <font>
        <i/>
        <name val="Times New Roman"/>
        <family val="1"/>
      </font>
    </dxf>
  </rfmt>
  <rcc rId="2550" sId="1" odxf="1" dxf="1">
    <nc r="F244">
      <f>F245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44" start="0" length="0">
    <dxf>
      <font>
        <i/>
        <name val="Times New Roman CYR"/>
        <family val="1"/>
      </font>
    </dxf>
  </rfmt>
  <rfmt sheetId="1" sqref="H244" start="0" length="0">
    <dxf>
      <font>
        <i/>
        <name val="Times New Roman CYR"/>
        <family val="1"/>
      </font>
    </dxf>
  </rfmt>
  <rfmt sheetId="1" sqref="I244" start="0" length="0">
    <dxf>
      <font>
        <i/>
        <name val="Times New Roman CYR"/>
        <family val="1"/>
      </font>
    </dxf>
  </rfmt>
  <rfmt sheetId="1" sqref="J244" start="0" length="0">
    <dxf>
      <font>
        <i/>
        <name val="Times New Roman CYR"/>
        <family val="1"/>
      </font>
    </dxf>
  </rfmt>
  <rfmt sheetId="1" sqref="K244" start="0" length="0">
    <dxf>
      <font>
        <i/>
        <name val="Times New Roman CYR"/>
        <family val="1"/>
      </font>
    </dxf>
  </rfmt>
  <rfmt sheetId="1" sqref="L244" start="0" length="0">
    <dxf>
      <font>
        <i/>
        <name val="Times New Roman CYR"/>
        <family val="1"/>
      </font>
    </dxf>
  </rfmt>
  <rfmt sheetId="1" sqref="M244" start="0" length="0">
    <dxf>
      <font>
        <i/>
        <name val="Times New Roman CYR"/>
        <family val="1"/>
      </font>
    </dxf>
  </rfmt>
  <rfmt sheetId="1" sqref="N244" start="0" length="0">
    <dxf>
      <font>
        <i/>
        <name val="Times New Roman CYR"/>
        <family val="1"/>
      </font>
    </dxf>
  </rfmt>
  <rfmt sheetId="1" sqref="O244" start="0" length="0">
    <dxf>
      <font>
        <i/>
        <name val="Times New Roman CYR"/>
        <family val="1"/>
      </font>
    </dxf>
  </rfmt>
  <rfmt sheetId="1" sqref="A244:XFD244" start="0" length="0">
    <dxf>
      <font>
        <i/>
        <name val="Times New Roman CYR"/>
        <family val="1"/>
      </font>
    </dxf>
  </rfmt>
  <rcc rId="2551" sId="1" odxf="1" dxf="1">
    <nc r="A245" t="inlineStr">
      <is>
        <t>Разработка проектно-сметной документации Дэбэнской защитной дамбы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2552" sId="1" odxf="1" dxf="1">
    <nc r="B24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45" start="0" length="0">
    <dxf>
      <font>
        <i/>
        <name val="Times New Roman"/>
        <family val="1"/>
      </font>
    </dxf>
  </rfmt>
  <rfmt sheetId="1" sqref="D245" start="0" length="0">
    <dxf>
      <font>
        <i/>
        <name val="Times New Roman"/>
        <family val="1"/>
      </font>
    </dxf>
  </rfmt>
  <rfmt sheetId="1" sqref="E245" start="0" length="0">
    <dxf>
      <font>
        <b/>
        <i/>
        <name val="Times New Roman"/>
        <family val="1"/>
      </font>
    </dxf>
  </rfmt>
  <rfmt sheetId="1" sqref="F245" start="0" length="0">
    <dxf>
      <font>
        <i/>
        <name val="Times New Roman"/>
        <family val="1"/>
      </font>
    </dxf>
  </rfmt>
  <rcc rId="2553" sId="1">
    <nc r="A246" t="inlineStr">
      <is>
        <t>Иные межбюджетные трансферты</t>
      </is>
    </nc>
  </rcc>
  <rcc rId="2554" sId="1">
    <nc r="B246" t="inlineStr">
      <is>
        <t>04</t>
      </is>
    </nc>
  </rcc>
  <rcc rId="2555" sId="1">
    <nc r="E246" t="inlineStr">
      <is>
        <t>540</t>
      </is>
    </nc>
  </rcc>
  <rcc rId="2556" sId="1">
    <nc r="C242" t="inlineStr">
      <is>
        <t>08</t>
      </is>
    </nc>
  </rcc>
  <rrc rId="2557" sId="1" ref="A244:XFD244" action="deleteRow">
    <undo index="65535" exp="ref" v="1" dr="F244" r="F243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4">
        <f>F245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558" sId="1">
    <nc r="C245" t="inlineStr">
      <is>
        <t>08</t>
      </is>
    </nc>
  </rcc>
  <rcc rId="2559" sId="1">
    <nc r="C244" t="inlineStr">
      <is>
        <t>08</t>
      </is>
    </nc>
  </rcc>
  <rcc rId="2560" sId="1">
    <nc r="C243" t="inlineStr">
      <is>
        <t>08</t>
      </is>
    </nc>
  </rcc>
  <rcc rId="2561" sId="1">
    <nc r="D245" t="inlineStr">
      <is>
        <t>99900S2П20</t>
      </is>
    </nc>
  </rcc>
  <rcc rId="2562" sId="1" odxf="1" dxf="1">
    <nc r="D244" t="inlineStr">
      <is>
        <t>99900S2П20</t>
      </is>
    </nc>
    <ndxf>
      <font>
        <i val="0"/>
        <name val="Times New Roman"/>
        <family val="1"/>
      </font>
    </ndxf>
  </rcc>
  <rcc rId="2563" sId="1">
    <nc r="A243" t="inlineStr">
      <is>
        <t>Непрограммные расходы</t>
      </is>
    </nc>
  </rcc>
  <rrc rId="2564" sId="1" ref="A246:XFD246" action="insertRow"/>
  <rcc rId="2565" sId="1">
    <nc r="B246" t="inlineStr">
      <is>
        <t>04</t>
      </is>
    </nc>
  </rcc>
  <rcc rId="2566" sId="1">
    <nc r="C246" t="inlineStr">
      <is>
        <t>08</t>
      </is>
    </nc>
  </rcc>
  <rcc rId="2567" sId="1">
    <nc r="D246" t="inlineStr">
      <is>
        <t>99900S2П20</t>
      </is>
    </nc>
  </rcc>
  <rcc rId="2568" sId="1">
    <nc r="E246" t="inlineStr">
      <is>
        <t>811</t>
      </is>
    </nc>
  </rcc>
  <rcc rId="2569" sId="1" numFmtId="4">
    <nc r="F245">
      <v>180.32</v>
    </nc>
  </rcc>
  <rcc rId="2570" sId="1" numFmtId="4">
    <nc r="F246">
      <v>386</v>
    </nc>
  </rcc>
  <rcc rId="2571" sId="1">
    <nc r="F244">
      <f>SUM(F245:F246)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функцион.структура!$A$4:$F$646</formula>
    <oldFormula>функцион.структура!$A$4:$F$646</oldFormula>
  </rdn>
  <rdn rId="0" localSheetId="1" customView="1" name="Z_629918FE_B1DF_464A_BF50_03D18729BC02_.wvu.FilterData" hidden="1" oldHidden="1">
    <formula>функцион.структура!$A$20:$F$653</formula>
    <oldFormula>функцион.структура!$A$20:$F$653</oldFormula>
  </rdn>
  <rcv guid="{629918FE-B1DF-464A-BF50-03D18729BC02}" action="add"/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4:F244" start="0" length="2147483647">
    <dxf>
      <font>
        <i val="0"/>
      </font>
    </dxf>
  </rfmt>
  <rfmt sheetId="1" sqref="A244:F244" start="0" length="2147483647">
    <dxf>
      <font>
        <i/>
      </font>
    </dxf>
  </rfmt>
  <rcc rId="2574" sId="1" xfDxf="1" dxf="1">
    <oc r="A244" t="inlineStr">
      <is>
        <t>Разработка проектно-сметной документации Дэбэнской защитной дамбы</t>
      </is>
    </oc>
    <nc r="A244" t="inlineStr">
      <is>
        <t>На возмещение части недополученных доходов юридическим лицам, индивидуальным предпринимателям и участникам договора простого товарищества при перевозке пассажиров и багажа на муниципальных маршрутах автомобильного транспорта в условиях внешнего санкционного давления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75" sId="1">
    <oc r="F243">
      <f>#REF!</f>
    </oc>
    <nc r="F243">
      <f>F244</f>
    </nc>
  </rcc>
  <rfmt sheetId="1" sqref="A246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функцион.структура!$A$4:$F$646</formula>
    <oldFormula>функцион.структура!$A$4:$F$646</oldFormula>
  </rdn>
  <rdn rId="0" localSheetId="1" customView="1" name="Z_629918FE_B1DF_464A_BF50_03D18729BC02_.wvu.FilterData" hidden="1" oldHidden="1">
    <formula>функцион.структура!$A$20:$F$653</formula>
    <oldFormula>функцион.структура!$A$20:$F$653</oldFormula>
  </rdn>
  <rcv guid="{629918FE-B1DF-464A-BF50-03D18729BC02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8" sId="1" odxf="1" dxf="1">
    <nc r="A246" t="inlineStr">
      <is>
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</is>
    </nc>
    <odxf>
      <fill>
        <patternFill patternType="solid">
          <bgColor rgb="FFFFFF0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9" sId="1" numFmtId="4">
    <oc r="F251">
      <v>4169.8995400000003</v>
    </oc>
    <nc r="F251">
      <v>8283.01</v>
    </nc>
  </rcc>
  <rcc rId="2580" sId="1" numFmtId="4">
    <oc r="F252">
      <v>830.10046</v>
    </oc>
    <nc r="F252">
      <v>6716.99</v>
    </nc>
  </rcc>
  <rcc rId="2581" sId="1" numFmtId="4">
    <oc r="F254">
      <v>400</v>
    </oc>
    <nc r="F254">
      <v>535</v>
    </nc>
  </rcc>
  <rcc rId="2582" sId="1" numFmtId="4">
    <oc r="F256">
      <v>21426.150249999999</v>
    </oc>
    <nc r="F256">
      <v>21291.150249999999</v>
    </nc>
  </rcc>
  <rrc rId="2583" sId="1" ref="A263:XFD263" action="insertRow"/>
  <rrc rId="2584" sId="1" ref="A263:XFD263" action="insertRow"/>
  <rrc rId="2585" sId="1" ref="A264:XFD264" action="insertRow"/>
  <rfmt sheetId="1" sqref="A263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86" sId="1" odxf="1" dxf="1">
    <nc r="B2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587" sId="1" odxf="1" dxf="1">
    <nc r="C2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3" start="0" length="0">
    <dxf>
      <font>
        <b val="0"/>
        <i/>
        <name val="Times New Roman"/>
        <family val="1"/>
      </font>
    </dxf>
  </rfmt>
  <rfmt sheetId="1" sqref="E263" start="0" length="0">
    <dxf>
      <font>
        <b val="0"/>
        <i/>
        <name val="Times New Roman"/>
        <family val="1"/>
      </font>
    </dxf>
  </rfmt>
  <rcc rId="2588" sId="1" odxf="1" dxf="1">
    <nc r="F263">
      <f>F264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264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89" sId="1" odxf="1" dxf="1">
    <nc r="B2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590" sId="1" odxf="1" dxf="1">
    <nc r="C2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4" start="0" length="0">
    <dxf>
      <font>
        <b val="0"/>
        <i/>
        <name val="Times New Roman"/>
        <family val="1"/>
      </font>
    </dxf>
  </rfmt>
  <rfmt sheetId="1" sqref="E264" start="0" length="0">
    <dxf>
      <font>
        <b val="0"/>
        <i/>
        <name val="Times New Roman"/>
        <family val="1"/>
      </font>
    </dxf>
  </rfmt>
  <rfmt sheetId="1" sqref="F264" start="0" length="0">
    <dxf>
      <font>
        <b val="0"/>
        <i/>
        <name val="Times New Roman"/>
        <family val="1"/>
      </font>
    </dxf>
  </rfmt>
  <rcc rId="2591" sId="1" odxf="1" dxf="1">
    <nc r="A26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92" sId="1" odxf="1" dxf="1">
    <nc r="B26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93" sId="1" odxf="1" dxf="1">
    <nc r="C265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65" start="0" length="0">
    <dxf>
      <font>
        <b val="0"/>
        <name val="Times New Roman"/>
        <family val="1"/>
      </font>
    </dxf>
  </rfmt>
  <rcc rId="2594" sId="1" odxf="1" dxf="1">
    <nc r="E265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65" start="0" length="0">
    <dxf>
      <font>
        <b val="0"/>
        <name val="Times New Roman"/>
        <family val="1"/>
      </font>
    </dxf>
  </rfmt>
  <rcc rId="2595" sId="1">
    <nc r="D263" t="inlineStr">
      <is>
        <t>03001 00000</t>
      </is>
    </nc>
  </rcc>
  <rcc rId="2596" sId="1">
    <nc r="D264" t="inlineStr">
      <is>
        <t>03001 S2E80</t>
      </is>
    </nc>
  </rcc>
  <rcc rId="2597" sId="1" odxf="1" dxf="1">
    <nc r="D265" t="inlineStr">
      <is>
        <t>03001 S2E80</t>
      </is>
    </nc>
    <ndxf>
      <font>
        <i/>
        <name val="Times New Roman"/>
        <family val="1"/>
      </font>
    </ndxf>
  </rcc>
  <rfmt sheetId="1" sqref="D265" start="0" length="2147483647">
    <dxf>
      <font>
        <i val="0"/>
      </font>
    </dxf>
  </rfmt>
  <rcc rId="2598" sId="1" numFmtId="4">
    <nc r="F265">
      <v>215</v>
    </nc>
  </rcc>
  <rcc rId="2599" sId="1">
    <nc r="F264">
      <f>F265</f>
    </nc>
  </rcc>
  <rcc rId="2600" sId="1">
    <oc r="F262">
      <f>F266</f>
    </oc>
    <nc r="F262">
      <f>F266+F263</f>
    </nc>
  </rcc>
  <rfmt sheetId="1" sqref="A263">
    <dxf>
      <fill>
        <patternFill>
          <bgColor rgb="FFFFFF00"/>
        </patternFill>
      </fill>
    </dxf>
  </rfmt>
  <rfmt sheetId="1" sqref="A264">
    <dxf>
      <fill>
        <patternFill patternType="solid">
          <bgColor rgb="FFFFFF00"/>
        </patternFill>
      </fill>
    </dxf>
  </rfmt>
  <rcc rId="2601" sId="1" xfDxf="1" dxf="1">
    <nc r="A263" t="inlineStr">
      <is>
        <t>Основное мероприятие "Организация и проведение мероприятий в сфере туризма на муниципальном уровне"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02" sId="1" xfDxf="1" dxf="1">
    <nc r="A264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3:A264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функцион.структура!$A$4:$F$649</formula>
    <oldFormula>функцион.структура!$A$4:$F$649</oldFormula>
  </rdn>
  <rdn rId="0" localSheetId="1" customView="1" name="Z_629918FE_B1DF_464A_BF50_03D18729BC02_.wvu.FilterData" hidden="1" oldHidden="1">
    <formula>функцион.структура!$A$20:$F$656</formula>
    <oldFormula>функцион.структура!$A$20:$F$656</oldFormula>
  </rdn>
  <rcv guid="{629918FE-B1DF-464A-BF50-03D18729BC02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5" sId="1" numFmtId="4">
    <oc r="F268">
      <f>460+15</f>
    </oc>
    <nc r="F268">
      <v>0</v>
    </nc>
  </rcc>
  <rrc rId="2606" sId="1" ref="A268:XFD268" action="deleteRow">
    <undo index="0" exp="ref" v="1" dr="F268" r="F267" sId="1"/>
    <rfmt sheetId="1" xfDxf="1" sqref="A268:XFD268" start="0" length="0">
      <dxf>
        <font>
          <b/>
          <i/>
          <name val="Times New Roman CYR"/>
          <family val="1"/>
        </font>
        <alignment wrapText="1"/>
      </dxf>
    </rfmt>
    <rcc rId="0" sId="1" dxf="1">
      <nc r="A268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12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03002 S2610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8">
        <v>0</v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07" sId="1">
    <oc r="F267">
      <f>#REF!+F268</f>
    </oc>
    <nc r="F267">
      <f>F268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8" sId="1" numFmtId="4">
    <oc r="F273">
      <f>409.2+347+600</f>
    </oc>
    <nc r="F273">
      <v>1200</v>
    </nc>
  </rcc>
  <rcc rId="2609" sId="1" numFmtId="4">
    <oc r="F311">
      <v>600</v>
    </oc>
    <nc r="F311">
      <v>2134.8000000000002</v>
    </nc>
  </rcc>
  <rcc rId="2610" sId="1" numFmtId="4">
    <oc r="F313">
      <v>2872.6306800000002</v>
    </oc>
    <nc r="F313">
      <v>3163.6898900000001</v>
    </nc>
  </rcc>
  <rrc rId="2611" sId="1" ref="A333:XFD333" action="insertRow"/>
  <rrc rId="2612" sId="1" ref="A333:XFD333" action="insertRow"/>
  <rfmt sheetId="1" sqref="A333" start="0" length="0">
    <dxf>
      <font>
        <i/>
        <name val="Times New Roman"/>
        <family val="1"/>
      </font>
      <alignment horizontal="left" vertical="top"/>
    </dxf>
  </rfmt>
  <rcc rId="2613" sId="1" odxf="1" dxf="1">
    <nc r="B33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14" sId="1" odxf="1" dxf="1">
    <nc r="C33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cc rId="2615" sId="1" odxf="1" dxf="1">
    <nc r="F333">
      <f>F334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16" sId="1">
    <nc r="A33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617" sId="1">
    <nc r="B334" t="inlineStr">
      <is>
        <t>07</t>
      </is>
    </nc>
  </rcc>
  <rcc rId="2618" sId="1">
    <nc r="C334" t="inlineStr">
      <is>
        <t>01</t>
      </is>
    </nc>
  </rcc>
  <rcc rId="2619" sId="1">
    <nc r="E334" t="inlineStr">
      <is>
        <t>611</t>
      </is>
    </nc>
  </rcc>
  <rcc rId="2620" sId="1">
    <nc r="D334" t="inlineStr">
      <is>
        <t>10101 74650</t>
      </is>
    </nc>
  </rcc>
  <rcc rId="2621" sId="1" odxf="1" dxf="1">
    <nc r="D333" t="inlineStr">
      <is>
        <t>10101 74650</t>
      </is>
    </nc>
    <ndxf>
      <font>
        <i val="0"/>
        <name val="Times New Roman"/>
        <family val="1"/>
      </font>
    </ndxf>
  </rcc>
  <rfmt sheetId="1" sqref="D333" start="0" length="2147483647">
    <dxf>
      <font>
        <i/>
      </font>
    </dxf>
  </rfmt>
  <rcc rId="2622" sId="1" numFmtId="4">
    <nc r="F334">
      <v>187.5</v>
    </nc>
  </rcc>
  <rcc rId="2623" sId="1">
    <oc r="F330">
      <f>F331+F335+F337</f>
    </oc>
    <nc r="F330">
      <f>F331+F335+F337+F333</f>
    </nc>
  </rcc>
  <rfmt sheetId="1" sqref="A333">
    <dxf>
      <fill>
        <patternFill patternType="solid">
          <bgColor rgb="FFFFFF00"/>
        </patternFill>
      </fill>
    </dxf>
  </rfmt>
  <rcc rId="2624" sId="1" xfDxf="1" dxf="1">
    <nc r="A333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3">
    <dxf>
      <fill>
        <patternFill>
          <bgColor theme="0"/>
        </patternFill>
      </fill>
    </dxf>
  </rfmt>
  <rcc rId="2625" sId="1" numFmtId="4">
    <oc r="F336">
      <v>36704.758999999998</v>
    </oc>
    <nc r="F336">
      <v>35363.682399999998</v>
    </nc>
  </rcc>
  <rcc rId="2626" sId="1" numFmtId="4">
    <oc r="F338">
      <v>77046.2</v>
    </oc>
    <nc r="F338">
      <v>75119.600000000006</v>
    </nc>
  </rcc>
  <rcc rId="2627" sId="1" numFmtId="4">
    <oc r="F352">
      <f>61025.30774-200</f>
    </oc>
    <nc r="F352">
      <v>69698.4666</v>
    </nc>
  </rcc>
  <rrc rId="2628" sId="1" ref="A353:XFD353" action="insertRow"/>
  <rcc rId="2629" sId="1">
    <nc r="B353" t="inlineStr">
      <is>
        <t>07</t>
      </is>
    </nc>
  </rcc>
  <rcc rId="2630" sId="1">
    <nc r="C353" t="inlineStr">
      <is>
        <t>02</t>
      </is>
    </nc>
  </rcc>
  <rcc rId="2631" sId="1">
    <nc r="D353" t="inlineStr">
      <is>
        <t>10201 83020</t>
      </is>
    </nc>
  </rcc>
  <rcc rId="2632" sId="1">
    <nc r="E353" t="inlineStr">
      <is>
        <t>612</t>
      </is>
    </nc>
  </rcc>
  <rcc rId="2633" sId="1" numFmtId="4">
    <nc r="F353">
      <v>13169.105519999999</v>
    </nc>
  </rcc>
  <rcc rId="2634" sId="1">
    <oc r="F351">
      <f>F352</f>
    </oc>
    <nc r="F351">
      <f>SUM(F352:F353)</f>
    </nc>
  </rcc>
  <rcc rId="2635" sId="1" odxf="1" dxf="1">
    <nc r="A35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2636" sId="1" numFmtId="4">
    <oc r="F357">
      <v>103257.99479</v>
    </oc>
    <nc r="F357">
      <v>103985.74778999999</v>
    </nc>
  </rcc>
  <rcc rId="2637" sId="1" numFmtId="4">
    <oc r="F361">
      <v>203.2</v>
    </oc>
    <nc r="F361">
      <v>181.429</v>
    </nc>
  </rcc>
  <rcc rId="2638" sId="1" numFmtId="4">
    <oc r="F369">
      <v>8514.4303999999993</v>
    </oc>
    <nc r="F369">
      <v>6294.5456800000002</v>
    </nc>
  </rcc>
  <rrc rId="2639" sId="1" ref="A372:XFD376" action="insertRow"/>
  <rm rId="2640" sheetId="1" source="A384:XFD388" destination="A372:XFD376" sourceSheetId="1">
    <rfmt sheetId="1" xfDxf="1" sqref="A372:XFD372" start="0" length="0">
      <dxf>
        <font>
          <i/>
          <name val="Times New Roman CYR"/>
          <family val="1"/>
        </font>
        <alignment wrapText="1"/>
      </dxf>
    </rfmt>
    <rfmt sheetId="1" xfDxf="1" sqref="A373:XFD373" start="0" length="0">
      <dxf>
        <font>
          <i/>
          <name val="Times New Roman CYR"/>
          <family val="1"/>
        </font>
        <alignment wrapText="1"/>
      </dxf>
    </rfmt>
    <rfmt sheetId="1" xfDxf="1" sqref="A374:XFD374" start="0" length="0">
      <dxf>
        <font>
          <i/>
          <name val="Times New Roman CYR"/>
          <family val="1"/>
        </font>
        <alignment wrapText="1"/>
      </dxf>
    </rfmt>
    <rfmt sheetId="1" xfDxf="1" sqref="A375:XFD375" start="0" length="0">
      <dxf>
        <font>
          <i/>
          <name val="Times New Roman CYR"/>
          <family val="1"/>
        </font>
        <alignment wrapText="1"/>
      </dxf>
    </rfmt>
    <rfmt sheetId="1" xfDxf="1" sqref="A376:XFD376" start="0" length="0">
      <dxf>
        <font>
          <i/>
          <name val="Times New Roman CYR"/>
          <family val="1"/>
        </font>
        <alignment wrapText="1"/>
      </dxf>
    </rfmt>
    <rfmt sheetId="1" sqref="A37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1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2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3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4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5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fmt sheetId="1" sqref="A373:F373" start="0" length="2147483647">
    <dxf>
      <font>
        <b val="0"/>
      </font>
    </dxf>
  </rfmt>
  <rfmt sheetId="1" sqref="A373:F373" start="0" length="2147483647">
    <dxf>
      <font>
        <b/>
      </font>
    </dxf>
  </rfmt>
  <rfmt sheetId="1" sqref="A372:F372" start="0" length="2147483647">
    <dxf>
      <font>
        <i/>
      </font>
    </dxf>
  </rfmt>
  <rfmt sheetId="1" sqref="A372:F372" start="0" length="2147483647">
    <dxf>
      <font>
        <i val="0"/>
      </font>
    </dxf>
  </rfmt>
  <rfmt sheetId="1" sqref="A374:F375" start="0" length="2147483647">
    <dxf>
      <font>
        <i val="0"/>
      </font>
    </dxf>
  </rfmt>
  <rfmt sheetId="1" sqref="A374:F375" start="0" length="2147483647">
    <dxf>
      <font>
        <i/>
      </font>
    </dxf>
  </rfmt>
  <rcc rId="2646" sId="1" numFmtId="4">
    <oc r="F383">
      <v>986.31385</v>
    </oc>
    <nc r="F383">
      <v>0</v>
    </nc>
  </rcc>
  <rrc rId="2647" sId="1" ref="A382:XFD382" action="deleteRow">
    <undo index="65535" exp="ref" v="1" dr="F382" r="F377" sId="1"/>
    <rfmt sheetId="1" xfDxf="1" sqref="A382:XFD382" start="0" length="0">
      <dxf>
        <font>
          <i/>
          <name val="Times New Roman CYR"/>
          <family val="1"/>
        </font>
        <alignment wrapText="1"/>
      </dxf>
    </rfmt>
    <rcc rId="0" sId="1" dxf="1">
      <nc r="A38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2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2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2">
        <f>F383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8" sId="1" ref="A382:XFD382" action="deleteRow">
    <rfmt sheetId="1" xfDxf="1" sqref="A382:XFD382" start="0" length="0">
      <dxf>
        <font>
          <i/>
          <name val="Times New Roman CYR"/>
          <family val="1"/>
        </font>
        <alignment wrapText="1"/>
      </dxf>
    </rfmt>
    <rcc rId="0" sId="1" dxf="1">
      <nc r="A38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2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2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2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49" sId="1">
    <oc r="F377">
      <f>F378+#REF!+F380</f>
    </oc>
    <nc r="F377">
      <f>F378+F380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функцион.структура!$A$4:$F$649</formula>
    <oldFormula>функцион.структура!$A$4:$F$649</oldFormula>
  </rdn>
  <rdn rId="0" localSheetId="1" customView="1" name="Z_629918FE_B1DF_464A_BF50_03D18729BC02_.wvu.FilterData" hidden="1" oldHidden="1">
    <formula>функцион.структура!$A$20:$F$656</formula>
    <oldFormula>функцион.структура!$A$20:$F$656</oldFormula>
  </rdn>
  <rcv guid="{629918FE-B1DF-464A-BF50-03D18729BC02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52" sId="1" numFmtId="4">
    <oc r="F387">
      <v>6891.48</v>
    </oc>
    <nc r="F387">
      <v>7109.9059999999999</v>
    </nc>
  </rcc>
  <rcc rId="2653" sId="1" numFmtId="4">
    <oc r="F397">
      <v>19078.07</v>
    </oc>
    <nc r="F397">
      <v>16320.67</v>
    </nc>
  </rcc>
  <rcc rId="2654" sId="1" numFmtId="4">
    <oc r="F400">
      <v>33017</v>
    </oc>
    <nc r="F400">
      <v>18738.599999999999</v>
    </nc>
  </rcc>
  <rrc rId="2655" sId="1" ref="A401:XFD403" action="insertRow"/>
  <rfmt sheetId="1" sqref="A401" start="0" length="0">
    <dxf>
      <font>
        <i/>
        <color indexed="8"/>
        <name val="Times New Roman"/>
        <family val="1"/>
      </font>
    </dxf>
  </rfmt>
  <rcc rId="2656" sId="1" odxf="1" dxf="1">
    <nc r="B40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7" sId="1" odxf="1" dxf="1">
    <nc r="C4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1" start="0" length="0">
    <dxf>
      <font>
        <i/>
        <name val="Times New Roman"/>
        <family val="1"/>
      </font>
    </dxf>
  </rfmt>
  <rfmt sheetId="1" sqref="E401" start="0" length="0">
    <dxf>
      <font>
        <i/>
        <name val="Times New Roman"/>
        <family val="1"/>
      </font>
    </dxf>
  </rfmt>
  <rfmt sheetId="1" sqref="F40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658" sId="1" odxf="1" dxf="1">
    <nc r="A4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9" sId="1">
    <nc r="B402" t="inlineStr">
      <is>
        <t>07</t>
      </is>
    </nc>
  </rcc>
  <rcc rId="2660" sId="1">
    <nc r="C402" t="inlineStr">
      <is>
        <t>03</t>
      </is>
    </nc>
  </rcc>
  <rcc rId="2661" sId="1">
    <nc r="E402" t="inlineStr">
      <is>
        <t>611</t>
      </is>
    </nc>
  </rcc>
  <rfmt sheetId="1" sqref="F402" start="0" length="0">
    <dxf>
      <fill>
        <patternFill patternType="solid">
          <bgColor theme="0"/>
        </patternFill>
      </fill>
    </dxf>
  </rfmt>
  <rcc rId="2662" sId="1">
    <nc r="A4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663" sId="1">
    <nc r="B403" t="inlineStr">
      <is>
        <t>07</t>
      </is>
    </nc>
  </rcc>
  <rcc rId="2664" sId="1">
    <nc r="C403" t="inlineStr">
      <is>
        <t>03</t>
      </is>
    </nc>
  </rcc>
  <rcc rId="2665" sId="1">
    <nc r="E403" t="inlineStr">
      <is>
        <t>621</t>
      </is>
    </nc>
  </rcc>
  <rfmt sheetId="1" sqref="F403" start="0" length="0">
    <dxf>
      <fill>
        <patternFill patternType="solid">
          <bgColor theme="0"/>
        </patternFill>
      </fill>
    </dxf>
  </rfmt>
  <rcc rId="2666" sId="1" numFmtId="4">
    <nc r="F402">
      <v>1577.9</v>
    </nc>
  </rcc>
  <rcc rId="2667" sId="1" numFmtId="4">
    <nc r="F403">
      <v>2296.9</v>
    </nc>
  </rcc>
  <rcc rId="2668" sId="1" odxf="1" dxf="1">
    <nc r="A401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669" sId="1">
    <nc r="D401" t="inlineStr">
      <is>
        <t>10101 S2160</t>
      </is>
    </nc>
  </rcc>
  <rcc rId="2670" sId="1" odxf="1" dxf="1">
    <nc r="D402" t="inlineStr">
      <is>
        <t>10101 S2160</t>
      </is>
    </nc>
    <ndxf>
      <font>
        <i/>
        <name val="Times New Roman"/>
        <family val="1"/>
      </font>
    </ndxf>
  </rcc>
  <rcc rId="2671" sId="1" odxf="1" dxf="1">
    <nc r="D403" t="inlineStr">
      <is>
        <t>10101 S2160</t>
      </is>
    </nc>
    <ndxf>
      <font>
        <i/>
        <name val="Times New Roman"/>
        <family val="1"/>
      </font>
    </ndxf>
  </rcc>
  <rfmt sheetId="1" sqref="D402:D403" start="0" length="2147483647">
    <dxf>
      <font>
        <i val="0"/>
      </font>
    </dxf>
  </rfmt>
  <rcc rId="2672" sId="1">
    <oc r="F394">
      <f>F395+F398+F404</f>
    </oc>
    <nc r="F394">
      <f>F395+F398+F404+F401</f>
    </nc>
  </rcc>
  <rcc rId="2673" sId="1">
    <nc r="F401">
      <f>SUM(F402:F403)</f>
    </nc>
  </rcc>
  <rcc rId="2674" sId="1" numFmtId="4">
    <oc r="F416">
      <v>386</v>
    </oc>
    <nc r="F416">
      <v>585.74900000000002</v>
    </nc>
  </rcc>
  <rcc rId="2675" sId="1" numFmtId="4">
    <oc r="F426">
      <v>1285.46</v>
    </oc>
    <nc r="F426">
      <v>1403.046</v>
    </nc>
  </rcc>
  <rcc rId="2676" sId="1" numFmtId="4">
    <oc r="F451">
      <v>607.84</v>
    </oc>
    <nc r="F451">
      <v>647.84</v>
    </nc>
  </rcc>
  <rcc rId="2677" sId="1" numFmtId="4">
    <oc r="F452">
      <v>183.56</v>
    </oc>
    <nc r="F452">
      <v>195.66</v>
    </nc>
  </rcc>
  <rcc rId="2678" sId="1" numFmtId="4">
    <oc r="F457">
      <v>4250.1459999999997</v>
    </oc>
    <nc r="F457">
      <v>4181.18048</v>
    </nc>
  </rcc>
  <rcc rId="2679" sId="1" numFmtId="4">
    <oc r="F462">
      <v>9180.5</v>
    </oc>
    <nc r="F462">
      <v>11403.586950000001</v>
    </nc>
  </rcc>
  <rcc rId="2680" sId="1" numFmtId="4">
    <oc r="F463">
      <v>2772.5</v>
    </oc>
    <nc r="F463">
      <v>3066.6130499999999</v>
    </nc>
  </rcc>
  <rrc rId="2681" sId="1" ref="A474:XFD474" action="insertRow"/>
  <rrc rId="2682" sId="1" ref="A474:XFD474" action="insertRow"/>
  <rrc rId="2683" sId="1" ref="A474:XFD474" action="insertRow"/>
  <rrc rId="2684" sId="1" ref="A474:XFD474" action="insertRow"/>
  <rrc rId="2685" sId="1" ref="A474:XFD474" action="insertRow"/>
  <rcc rId="2686" sId="1" odxf="1" dxf="1">
    <nc r="A474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474" start="0" length="0">
    <dxf>
      <font>
        <i/>
        <name val="Times New Roman"/>
        <family val="1"/>
      </font>
    </dxf>
  </rfmt>
  <rfmt sheetId="1" sqref="C474" start="0" length="0">
    <dxf>
      <font>
        <i/>
        <name val="Times New Roman"/>
        <family val="1"/>
      </font>
    </dxf>
  </rfmt>
  <rcc rId="2687" sId="1" odxf="1" dxf="1">
    <nc r="D474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4" start="0" length="0">
    <dxf>
      <font>
        <i/>
        <name val="Times New Roman"/>
        <family val="1"/>
      </font>
    </dxf>
  </rfmt>
  <rfmt sheetId="1" sqref="F474" start="0" length="0">
    <dxf>
      <font>
        <i/>
        <name val="Times New Roman"/>
        <family val="1"/>
      </font>
    </dxf>
  </rfmt>
  <rcc rId="2688" sId="1" odxf="1" dxf="1">
    <nc r="A475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689" sId="1">
    <nc r="D475" t="inlineStr">
      <is>
        <t>99900 55493</t>
      </is>
    </nc>
  </rcc>
  <rcc rId="2690" sId="1" odxf="1" dxf="1">
    <nc r="E475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cc rId="2691" sId="1">
    <nc r="A47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692" sId="1">
    <nc r="D476" t="inlineStr">
      <is>
        <t>99900 55493</t>
      </is>
    </nc>
  </rcc>
  <rcc rId="2693" sId="1" odxf="1" dxf="1">
    <nc r="E476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fmt sheetId="1" sqref="F476" start="0" length="0">
    <dxf>
      <fill>
        <patternFill patternType="solid">
          <bgColor theme="0"/>
        </patternFill>
      </fill>
    </dxf>
  </rfmt>
  <rcc rId="2694" sId="1">
    <nc r="A477" t="inlineStr">
      <is>
        <t>Фонд оплаты труда государственных (муниципальных) органов</t>
      </is>
    </nc>
  </rcc>
  <rcc rId="2695" sId="1">
    <nc r="D477" t="inlineStr">
      <is>
        <t>99900 55493</t>
      </is>
    </nc>
  </rcc>
  <rcc rId="2696" sId="1" odxf="1" dxf="1">
    <nc r="E477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fmt sheetId="1" sqref="F477" start="0" length="0">
    <dxf>
      <fill>
        <patternFill patternType="solid">
          <bgColor theme="0"/>
        </patternFill>
      </fill>
    </dxf>
  </rfmt>
  <rcc rId="2697" sId="1">
    <nc r="A47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698" sId="1">
    <nc r="D478" t="inlineStr">
      <is>
        <t>99900 55493</t>
      </is>
    </nc>
  </rcc>
  <rcc rId="2699" sId="1" odxf="1" dxf="1">
    <nc r="E478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fmt sheetId="1" sqref="F478" start="0" length="0">
    <dxf>
      <fill>
        <patternFill patternType="solid">
          <bgColor theme="0"/>
        </patternFill>
      </fill>
    </dxf>
  </rfmt>
  <rcc rId="2700" sId="1">
    <nc r="B474" t="inlineStr">
      <is>
        <t>07</t>
      </is>
    </nc>
  </rcc>
  <rcc rId="2701" sId="1">
    <nc r="C474" t="inlineStr">
      <is>
        <t>09</t>
      </is>
    </nc>
  </rcc>
  <rcc rId="2702" sId="1" odxf="1" dxf="1">
    <nc r="B475" t="inlineStr">
      <is>
        <t>07</t>
      </is>
    </nc>
    <ndxf>
      <font>
        <i/>
        <name val="Times New Roman"/>
        <family val="1"/>
      </font>
    </ndxf>
  </rcc>
  <rcc rId="2703" sId="1" odxf="1" dxf="1">
    <nc r="C475" t="inlineStr">
      <is>
        <t>09</t>
      </is>
    </nc>
    <ndxf>
      <font>
        <i/>
        <name val="Times New Roman"/>
        <family val="1"/>
      </font>
    </ndxf>
  </rcc>
  <rcc rId="2704" sId="1" odxf="1" dxf="1">
    <nc r="B476" t="inlineStr">
      <is>
        <t>07</t>
      </is>
    </nc>
    <ndxf>
      <font>
        <i/>
        <name val="Times New Roman"/>
        <family val="1"/>
      </font>
    </ndxf>
  </rcc>
  <rcc rId="2705" sId="1" odxf="1" dxf="1">
    <nc r="C476" t="inlineStr">
      <is>
        <t>09</t>
      </is>
    </nc>
    <ndxf>
      <font>
        <i/>
        <name val="Times New Roman"/>
        <family val="1"/>
      </font>
    </ndxf>
  </rcc>
  <rcc rId="2706" sId="1" odxf="1" dxf="1">
    <nc r="B477" t="inlineStr">
      <is>
        <t>07</t>
      </is>
    </nc>
    <ndxf>
      <font>
        <i/>
        <name val="Times New Roman"/>
        <family val="1"/>
      </font>
    </ndxf>
  </rcc>
  <rcc rId="2707" sId="1" odxf="1" dxf="1">
    <nc r="C477" t="inlineStr">
      <is>
        <t>09</t>
      </is>
    </nc>
    <ndxf>
      <font>
        <i/>
        <name val="Times New Roman"/>
        <family val="1"/>
      </font>
    </ndxf>
  </rcc>
  <rcc rId="2708" sId="1" odxf="1" dxf="1">
    <nc r="B478" t="inlineStr">
      <is>
        <t>07</t>
      </is>
    </nc>
    <ndxf>
      <font>
        <i/>
        <name val="Times New Roman"/>
        <family val="1"/>
      </font>
    </ndxf>
  </rcc>
  <rcc rId="2709" sId="1" odxf="1" dxf="1">
    <nc r="C478" t="inlineStr">
      <is>
        <t>09</t>
      </is>
    </nc>
    <ndxf>
      <font>
        <i/>
        <name val="Times New Roman"/>
        <family val="1"/>
      </font>
    </ndxf>
  </rcc>
  <rfmt sheetId="1" sqref="B475:C475" start="0" length="2147483647">
    <dxf>
      <font>
        <i val="0"/>
      </font>
    </dxf>
  </rfmt>
  <rfmt sheetId="1" sqref="B476:C478" start="0" length="2147483647">
    <dxf>
      <font>
        <i val="0"/>
      </font>
    </dxf>
  </rfmt>
  <rcc rId="2710" sId="1" numFmtId="4">
    <nc r="F475">
      <v>5.8</v>
    </nc>
  </rcc>
  <rcc rId="2711" sId="1" numFmtId="4">
    <nc r="F476">
      <v>1.7516</v>
    </nc>
  </rcc>
  <rcc rId="2712" sId="1" numFmtId="4">
    <nc r="F477">
      <v>21.462</v>
    </nc>
  </rcc>
  <rcc rId="2713" sId="1" numFmtId="4">
    <nc r="F478">
      <v>6.4819000000000004</v>
    </nc>
  </rcc>
  <rcc rId="2714" sId="1">
    <nc r="F474">
      <f>SUM(F475:F478)</f>
    </nc>
  </rcc>
  <rcc rId="2715" sId="1" numFmtId="4">
    <oc r="F485">
      <v>7395.8</v>
    </oc>
    <nc r="F485">
      <v>5894.4889999999996</v>
    </nc>
  </rcc>
  <rcc rId="2716" sId="1" numFmtId="4">
    <oc r="F489">
      <v>5973.51</v>
    </oc>
    <nc r="F489">
      <v>5690.0039999999999</v>
    </nc>
  </rcc>
  <rcc rId="2717" sId="1" numFmtId="4">
    <oc r="F493">
      <v>8943.2499700000008</v>
    </oc>
    <nc r="F493">
      <v>7168.3102699999999</v>
    </nc>
  </rcc>
  <rcc rId="2718" sId="1" numFmtId="4">
    <oc r="F494">
      <v>163.77106000000001</v>
    </oc>
    <nc r="F494">
      <v>289.06675999999999</v>
    </nc>
  </rcc>
  <rcc rId="2719" sId="1" numFmtId="4">
    <oc r="F498">
      <v>8921.49</v>
    </oc>
    <nc r="F498">
      <v>9459.768</v>
    </nc>
  </rcc>
  <rrc rId="2720" sId="1" ref="A506:XFD506" action="insertRow"/>
  <rcc rId="2721" sId="1" odxf="1" dxf="1">
    <nc r="A506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alignment horizontal="general"/>
    </odxf>
    <ndxf>
      <font>
        <i val="0"/>
        <name val="Times New Roman"/>
        <family val="1"/>
      </font>
      <alignment horizontal="left"/>
    </ndxf>
  </rcc>
  <rcc rId="2722" sId="1" odxf="1" dxf="1">
    <nc r="B50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723" sId="1" odxf="1" dxf="1">
    <nc r="C50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724" sId="1" odxf="1" dxf="1">
    <nc r="D506" t="inlineStr">
      <is>
        <t>08401 83160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06" start="0" length="0">
    <dxf>
      <font>
        <i val="0"/>
        <name val="Times New Roman"/>
        <family val="1"/>
      </font>
    </dxf>
  </rfmt>
  <rfmt sheetId="1" sqref="F506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725" sId="1">
    <nc r="E506" t="inlineStr">
      <is>
        <t>112</t>
      </is>
    </nc>
  </rcc>
  <rcc rId="2726" sId="1" numFmtId="4">
    <nc r="F506">
      <v>27</v>
    </nc>
  </rcc>
  <rcc rId="2727" sId="1">
    <oc r="F505">
      <f>SUM(F507:F508)</f>
    </oc>
    <nc r="F505">
      <f>SUM(F506:F508)</f>
    </nc>
  </rcc>
  <rfmt sheetId="1" sqref="A506">
    <dxf>
      <fill>
        <patternFill patternType="solid">
          <bgColor rgb="FFFFFF00"/>
        </patternFill>
      </fill>
    </dxf>
  </rfmt>
  <rcc rId="2728" sId="1" numFmtId="4">
    <oc r="F507">
      <v>740</v>
    </oc>
    <nc r="F507">
      <v>699.1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29" sId="1" ref="A509:XFD509" action="insertRow"/>
  <rrc rId="2730" sId="1" ref="A509:XFD509" action="insertRow"/>
  <rfmt sheetId="1" sqref="A509" start="0" length="0">
    <dxf>
      <font>
        <i/>
        <name val="Times New Roman"/>
        <family val="1"/>
      </font>
      <alignment horizontal="general"/>
    </dxf>
  </rfmt>
  <rcc rId="2731" sId="1" odxf="1" dxf="1">
    <nc r="B50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32" sId="1" odxf="1" dxf="1">
    <nc r="C50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09" start="0" length="0">
    <dxf>
      <font>
        <i/>
        <name val="Times New Roman"/>
        <family val="1"/>
      </font>
    </dxf>
  </rfmt>
  <rfmt sheetId="1" sqref="E509" start="0" length="0">
    <dxf>
      <font>
        <i/>
        <name val="Times New Roman"/>
        <family val="1"/>
      </font>
    </dxf>
  </rfmt>
  <rfmt sheetId="1" sqref="F50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510" start="0" length="0">
    <dxf>
      <fill>
        <patternFill patternType="solid">
          <bgColor rgb="FFFFFF00"/>
        </patternFill>
      </fill>
    </dxf>
  </rfmt>
  <rcc rId="2733" sId="1">
    <nc r="B510" t="inlineStr">
      <is>
        <t>08</t>
      </is>
    </nc>
  </rcc>
  <rcc rId="2734" sId="1">
    <nc r="C510" t="inlineStr">
      <is>
        <t>01</t>
      </is>
    </nc>
  </rcc>
  <rcc rId="2735" sId="1">
    <nc r="D509" t="inlineStr">
      <is>
        <t>08401 S2E80</t>
      </is>
    </nc>
  </rcc>
  <rcc rId="2736" sId="1" odxf="1" dxf="1">
    <nc r="D510" t="inlineStr">
      <is>
        <t>08401 S2E80</t>
      </is>
    </nc>
    <ndxf>
      <font>
        <i/>
        <name val="Times New Roman"/>
        <family val="1"/>
      </font>
    </ndxf>
  </rcc>
  <rfmt sheetId="1" sqref="D510" start="0" length="2147483647">
    <dxf>
      <font>
        <i val="0"/>
      </font>
    </dxf>
  </rfmt>
  <rcc rId="2737" sId="1">
    <nc r="E510" t="inlineStr">
      <is>
        <t>244</t>
      </is>
    </nc>
  </rcc>
  <rcc rId="2738" sId="1" numFmtId="4">
    <nc r="F510">
      <v>419</v>
    </nc>
  </rcc>
  <rcc rId="2739" sId="1">
    <nc r="F509">
      <f>F510</f>
    </nc>
  </rcc>
  <rcc rId="2740" sId="1" odxf="1" dxf="1">
    <nc r="A510" t="inlineStr">
      <is>
        <t>Прочая закупка товаров, работ и услуг для обеспечения государственных (муниципальных) нужд</t>
      </is>
    </nc>
    <ndxf>
      <fill>
        <patternFill patternType="none">
          <bgColor indexed="65"/>
        </patternFill>
      </fill>
    </ndxf>
  </rcc>
  <rfmt sheetId="1" sqref="A509">
    <dxf>
      <fill>
        <patternFill patternType="solid">
          <bgColor rgb="FFFFFF00"/>
        </patternFill>
      </fill>
    </dxf>
  </rfmt>
  <rcc rId="2741" sId="1" odxf="1" dxf="1">
    <oc r="A506" t="inlineStr">
      <is>
        <t>Прочая закупка товаров, работ и услуг для обеспечения государственных (муниципальных) нужд</t>
      </is>
    </oc>
    <nc r="A506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</ndxf>
  </rcc>
  <rcc rId="2742" sId="1" xfDxf="1" dxf="1">
    <nc r="A509" t="inlineStr">
      <is>
        <t>Организация и проведение событийного тематического мероприятия в сельской местности. Этно-туристский фестиваль "Ветер эпохи над Тамчинской долиной"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9">
    <dxf>
      <fill>
        <patternFill>
          <bgColor theme="0"/>
        </patternFill>
      </fill>
    </dxf>
  </rfmt>
  <rcc rId="2743" sId="1">
    <oc r="F503">
      <f>F504+F513+F511</f>
    </oc>
    <nc r="F503">
      <f>F504+F513+F511+F509</f>
    </nc>
  </rcc>
  <rcc rId="2744" sId="1" numFmtId="4">
    <oc r="F517">
      <v>3494.3145300000001</v>
    </oc>
    <nc r="F517">
      <v>3004.23038</v>
    </nc>
  </rcc>
  <rcc rId="2745" sId="1" numFmtId="4">
    <oc r="F519">
      <v>45</v>
    </oc>
    <nc r="F519">
      <v>55</v>
    </nc>
  </rcc>
  <rcc rId="2746" sId="1" numFmtId="4">
    <oc r="F521">
      <v>1810.6407099999999</v>
    </oc>
    <nc r="F521">
      <v>1273.0205100000001</v>
    </nc>
  </rcc>
  <rcc rId="2747" sId="1" numFmtId="4">
    <oc r="F523">
      <v>5356</v>
    </oc>
    <nc r="F523">
      <v>5101.2280000000001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функцион.структура!$A$4:$F$660</formula>
    <oldFormula>функцион.структура!$A$4:$F$660</oldFormula>
  </rdn>
  <rdn rId="0" localSheetId="1" customView="1" name="Z_629918FE_B1DF_464A_BF50_03D18729BC02_.wvu.FilterData" hidden="1" oldHidden="1">
    <formula>функцион.структура!$A$20:$F$667</formula>
    <oldFormula>функцион.структура!$A$20:$F$667</oldFormula>
  </rdn>
  <rcv guid="{629918FE-B1DF-464A-BF50-03D18729BC02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0" sId="1" numFmtId="4">
    <oc r="F529">
      <v>636.54999999999995</v>
    </oc>
    <nc r="F529">
      <v>687.95</v>
    </nc>
  </rcc>
  <rcc rId="2751" sId="1" numFmtId="4">
    <oc r="F530">
      <v>192.24</v>
    </oc>
    <nc r="F530">
      <v>204.54</v>
    </nc>
  </rcc>
  <rcc rId="2752" sId="1" numFmtId="4">
    <oc r="F532">
      <v>6635.15</v>
    </oc>
    <nc r="F532">
      <v>6759.85</v>
    </nc>
  </rcc>
  <rcc rId="2753" sId="1" numFmtId="4">
    <oc r="F534">
      <v>1997.71</v>
    </oc>
    <nc r="F534">
      <v>2023.91122</v>
    </nc>
  </rcc>
  <rcc rId="2754" sId="1" numFmtId="4">
    <oc r="F536">
      <v>168.84322</v>
    </oc>
    <nc r="F536">
      <v>207.203</v>
    </nc>
  </rcc>
  <rrc rId="2755" sId="1" ref="A542:XFD542" action="insertRow"/>
  <rrc rId="2756" sId="1" ref="A542:XFD542" action="insertRow"/>
  <rrc rId="2757" sId="1" ref="A542:XFD542" action="insertRow"/>
  <rrc rId="2758" sId="1" ref="A542:XFD542" action="insertRow"/>
  <rrc rId="2759" sId="1" ref="A542:XFD542" action="insertRow"/>
  <rcc rId="2760" sId="1" odxf="1" dxf="1">
    <nc r="A54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542" start="0" length="0">
    <dxf>
      <font>
        <i/>
        <name val="Times New Roman"/>
        <family val="1"/>
      </font>
    </dxf>
  </rfmt>
  <rfmt sheetId="1" sqref="C542" start="0" length="0">
    <dxf>
      <font>
        <i/>
        <name val="Times New Roman"/>
        <family val="1"/>
      </font>
    </dxf>
  </rfmt>
  <rcc rId="2761" sId="1" odxf="1" dxf="1">
    <nc r="D54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2" start="0" length="0">
    <dxf>
      <font>
        <i/>
        <name val="Times New Roman"/>
        <family val="1"/>
      </font>
    </dxf>
  </rfmt>
  <rfmt sheetId="1" sqref="F54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762" sId="1" odxf="1" dxf="1">
    <nc r="A543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2763" sId="1">
    <nc r="D543" t="inlineStr">
      <is>
        <t>99900 55493</t>
      </is>
    </nc>
  </rcc>
  <rcc rId="2764" sId="1">
    <nc r="E543" t="inlineStr">
      <is>
        <t>111</t>
      </is>
    </nc>
  </rcc>
  <rcc rId="2765" sId="1" odxf="1" dxf="1" numFmtId="4">
    <nc r="F543">
      <v>5.8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66" sId="1" odxf="1" dxf="1">
    <nc r="A54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67" sId="1">
    <nc r="D544" t="inlineStr">
      <is>
        <t>99900 55493</t>
      </is>
    </nc>
  </rcc>
  <rcc rId="2768" sId="1">
    <nc r="E544" t="inlineStr">
      <is>
        <t>119</t>
      </is>
    </nc>
  </rcc>
  <rcc rId="2769" sId="1" numFmtId="4">
    <nc r="F544">
      <v>1.7516</v>
    </nc>
  </rcc>
  <rcc rId="2770" sId="1" odxf="1" dxf="1">
    <nc r="A545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71" sId="1">
    <nc r="D545" t="inlineStr">
      <is>
        <t>99900 55493</t>
      </is>
    </nc>
  </rcc>
  <rcc rId="2772" sId="1">
    <nc r="E545" t="inlineStr">
      <is>
        <t>121</t>
      </is>
    </nc>
  </rcc>
  <rcc rId="2773" sId="1" odxf="1" dxf="1">
    <nc r="A5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74" sId="1">
    <nc r="D546" t="inlineStr">
      <is>
        <t>99900 55493</t>
      </is>
    </nc>
  </rcc>
  <rcc rId="2775" sId="1">
    <nc r="E546" t="inlineStr">
      <is>
        <t>129</t>
      </is>
    </nc>
  </rcc>
  <rcc rId="2776" sId="1">
    <nc r="B542" t="inlineStr">
      <is>
        <t>08</t>
      </is>
    </nc>
  </rcc>
  <rcc rId="2777" sId="1">
    <nc r="C542" t="inlineStr">
      <is>
        <t>04</t>
      </is>
    </nc>
  </rcc>
  <rcc rId="2778" sId="1">
    <nc r="B543" t="inlineStr">
      <is>
        <t>08</t>
      </is>
    </nc>
  </rcc>
  <rcc rId="2779" sId="1">
    <nc r="C543" t="inlineStr">
      <is>
        <t>04</t>
      </is>
    </nc>
  </rcc>
  <rcc rId="2780" sId="1">
    <nc r="B544" t="inlineStr">
      <is>
        <t>08</t>
      </is>
    </nc>
  </rcc>
  <rcc rId="2781" sId="1">
    <nc r="C544" t="inlineStr">
      <is>
        <t>04</t>
      </is>
    </nc>
  </rcc>
  <rcc rId="2782" sId="1">
    <nc r="B545" t="inlineStr">
      <is>
        <t>08</t>
      </is>
    </nc>
  </rcc>
  <rcc rId="2783" sId="1">
    <nc r="C545" t="inlineStr">
      <is>
        <t>04</t>
      </is>
    </nc>
  </rcc>
  <rcc rId="2784" sId="1">
    <nc r="B546" t="inlineStr">
      <is>
        <t>08</t>
      </is>
    </nc>
  </rcc>
  <rcc rId="2785" sId="1">
    <nc r="C546" t="inlineStr">
      <is>
        <t>04</t>
      </is>
    </nc>
  </rcc>
  <rcc rId="2786" sId="1" numFmtId="4">
    <nc r="F545">
      <v>12.496</v>
    </nc>
  </rcc>
  <rcc rId="2787" sId="1" numFmtId="4">
    <nc r="F546">
      <v>3.7736000000000001</v>
    </nc>
  </rcc>
  <rcc rId="2788" sId="1">
    <nc r="F542">
      <f>SUM(F543:F546)</f>
    </nc>
  </rcc>
  <rrc rId="2789" sId="1" ref="A542:XFD542" action="insertRow"/>
  <rcc rId="2790" sId="1" odxf="1" dxf="1">
    <nc r="A542" t="inlineStr">
      <is>
        <t xml:space="preserve">Непрограммные расходы 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2791" sId="1" odxf="1" dxf="1">
    <nc r="B54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542" start="0" length="0">
    <dxf>
      <font>
        <b/>
        <name val="Times New Roman"/>
        <family val="1"/>
      </font>
    </dxf>
  </rfmt>
  <rcc rId="2792" sId="1" odxf="1" dxf="1">
    <nc r="D54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42" start="0" length="0">
    <dxf>
      <font>
        <b/>
        <name val="Times New Roman"/>
        <family val="1"/>
      </font>
    </dxf>
  </rfmt>
  <rfmt sheetId="1" sqref="F542" start="0" length="0">
    <dxf>
      <font>
        <b/>
        <name val="Times New Roman"/>
        <family val="1"/>
      </font>
      <alignment wrapText="0"/>
    </dxf>
  </rfmt>
  <rcc rId="2793" sId="1">
    <nc r="C542" t="inlineStr">
      <is>
        <t>04</t>
      </is>
    </nc>
  </rcc>
  <rcc rId="2794" sId="1">
    <nc r="F542">
      <f>F543</f>
    </nc>
  </rcc>
  <rcc rId="2795" sId="1">
    <oc r="F524">
      <f>F525+F538</f>
    </oc>
    <nc r="F524">
      <f>F525+F538+F542</f>
    </nc>
  </rcc>
  <rcc rId="2796" sId="1" numFmtId="4">
    <oc r="F553">
      <v>2442.9410400000002</v>
    </oc>
    <nc r="F553">
      <v>4886.3717100000003</v>
    </nc>
  </rcc>
  <rcc rId="2797" sId="1" numFmtId="4">
    <oc r="F560">
      <v>309.10000000000002</v>
    </oc>
    <nc r="F560">
      <v>343.6</v>
    </nc>
  </rcc>
  <rrc rId="2798" sId="1" ref="A561:XFD561" action="insertRow"/>
  <rrc rId="2799" sId="1" ref="A561:XFD561" action="insertRow"/>
  <rfmt sheetId="1" sqref="A561" start="0" length="0">
    <dxf>
      <font>
        <i/>
        <name val="Times New Roman"/>
        <family val="1"/>
      </font>
    </dxf>
  </rfmt>
  <rcc rId="2800" sId="1" odxf="1" dxf="1">
    <nc r="B56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01" sId="1" odxf="1" dxf="1">
    <nc r="C56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1" start="0" length="0">
    <dxf>
      <font>
        <i/>
        <name val="Times New Roman"/>
        <family val="1"/>
      </font>
    </dxf>
  </rfmt>
  <rfmt sheetId="1" sqref="E561" start="0" length="0">
    <dxf>
      <font>
        <i/>
        <name val="Times New Roman"/>
        <family val="1"/>
      </font>
    </dxf>
  </rfmt>
  <rfmt sheetId="1" sqref="F561" start="0" length="0">
    <dxf>
      <font>
        <i/>
        <name val="Times New Roman"/>
        <family val="1"/>
      </font>
      <alignment wrapText="0"/>
    </dxf>
  </rfmt>
  <rfmt sheetId="1" sqref="A562" start="0" length="0">
    <dxf>
      <font>
        <color indexed="8"/>
        <name val="Times New Roman"/>
        <family val="1"/>
      </font>
      <fill>
        <patternFill patternType="solid"/>
      </fill>
    </dxf>
  </rfmt>
  <rcc rId="2802" sId="1">
    <nc r="B562" t="inlineStr">
      <is>
        <t>10</t>
      </is>
    </nc>
  </rcc>
  <rcc rId="2803" sId="1">
    <nc r="C562" t="inlineStr">
      <is>
        <t>03</t>
      </is>
    </nc>
  </rcc>
  <rfmt sheetId="1" sqref="F562" start="0" length="0">
    <dxf>
      <alignment wrapText="0"/>
    </dxf>
  </rfmt>
  <rcc rId="2804" sId="1">
    <nc r="D561" t="inlineStr">
      <is>
        <t>99900 86000</t>
      </is>
    </nc>
  </rcc>
  <rcc rId="2805" sId="1">
    <nc r="D562" t="inlineStr">
      <is>
        <t>99900 86000</t>
      </is>
    </nc>
  </rcc>
  <rcc rId="2806" sId="1">
    <nc r="E562" t="inlineStr">
      <is>
        <t>321</t>
      </is>
    </nc>
  </rcc>
  <rcc rId="2807" sId="1" numFmtId="4">
    <nc r="F562">
      <v>10</v>
    </nc>
  </rcc>
  <rcc rId="2808" sId="1">
    <nc r="F561">
      <f>F562</f>
    </nc>
  </rcc>
  <rcc rId="2809" sId="1">
    <oc r="F555">
      <f>F556+F558</f>
    </oc>
    <nc r="F555">
      <f>F556+F558+F561</f>
    </nc>
  </rcc>
  <rcc rId="2810" sId="1" xfDxf="1" dxf="1">
    <nc r="A561" t="inlineStr">
      <is>
        <t>Резервные фонды местных администраций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1" sId="1" xfDxf="1" dxf="1">
    <nc r="A562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функцион.структура!$A$4:$F$668</formula>
    <oldFormula>функцион.структура!$A$4:$F$668</oldFormula>
  </rdn>
  <rdn rId="0" localSheetId="1" customView="1" name="Z_629918FE_B1DF_464A_BF50_03D18729BC02_.wvu.FilterData" hidden="1" oldHidden="1">
    <formula>функцион.структура!$A$20:$F$675</formula>
    <oldFormula>функцион.структура!$A$20:$F$675</oldFormula>
  </rdn>
  <rcv guid="{629918FE-B1DF-464A-BF50-03D18729BC02}" action="add"/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4" sId="1" numFmtId="4">
    <oc r="F578">
      <v>1422.1</v>
    </oc>
    <nc r="F578">
      <v>1523.7</v>
    </nc>
  </rcc>
  <rcc rId="2815" sId="1" numFmtId="4">
    <oc r="F579">
      <v>429.5</v>
    </oc>
    <nc r="F579">
      <v>460.15</v>
    </nc>
  </rcc>
  <rcc rId="2816" sId="1" numFmtId="4">
    <oc r="F580">
      <v>175</v>
    </oc>
    <nc r="F580">
      <v>204.4</v>
    </nc>
  </rcc>
  <rcc rId="2817" sId="1" numFmtId="4">
    <oc r="F583">
      <v>110.4</v>
    </oc>
    <nc r="F583">
      <v>60.702759999999998</v>
    </nc>
  </rcc>
  <rcc rId="2818" sId="1" numFmtId="4">
    <oc r="F584">
      <v>33.299999999999997</v>
    </oc>
    <nc r="F584">
      <v>18.332239999999999</v>
    </nc>
  </rcc>
  <rrc rId="2819" sId="1" ref="A585:XFD585" action="insertRow"/>
  <rcc rId="2820" sId="1">
    <nc r="B585" t="inlineStr">
      <is>
        <t>10</t>
      </is>
    </nc>
  </rcc>
  <rcc rId="2821" sId="1">
    <nc r="C585" t="inlineStr">
      <is>
        <t>06</t>
      </is>
    </nc>
  </rcc>
  <rcc rId="2822" sId="1">
    <nc r="D585" t="inlineStr">
      <is>
        <t>99900 73250</t>
      </is>
    </nc>
  </rcc>
  <rcc rId="2823" sId="1">
    <nc r="E585" t="inlineStr">
      <is>
        <t>244</t>
      </is>
    </nc>
  </rcc>
  <rcc rId="2824" sId="1" numFmtId="4">
    <nc r="F585">
      <v>244.86500000000001</v>
    </nc>
  </rcc>
  <rfmt sheetId="1" sqref="F582" start="0" length="0">
    <dxf>
      <font>
        <name val="Times New Roman"/>
        <family val="1"/>
      </font>
    </dxf>
  </rfmt>
  <rcc rId="2825" sId="1">
    <oc r="F582">
      <f>F583+F584</f>
    </oc>
    <nc r="F582">
      <f>SUM(F583:F585)</f>
    </nc>
  </rcc>
  <rcc rId="2826" sId="1">
    <nc r="A585" t="inlineStr">
      <is>
        <t>Прочие закупки товаров, работ и услуг для государственных (муниципальных) нужд</t>
      </is>
    </nc>
  </rcc>
  <rcc rId="2827" sId="1" numFmtId="4">
    <oc r="F592">
      <v>5.76</v>
    </oc>
    <nc r="F592">
      <v>18.559999999999999</v>
    </nc>
  </rcc>
  <rcc rId="2828" sId="1" numFmtId="4">
    <oc r="F593">
      <v>384.83600000000001</v>
    </oc>
    <nc r="F593">
      <v>453.14587</v>
    </nc>
  </rcc>
  <rcc rId="2829" sId="1" numFmtId="4">
    <oc r="F594">
      <v>352.60399999999998</v>
    </oc>
    <nc r="F594">
      <v>411.00400000000002</v>
    </nc>
  </rcc>
  <rcc rId="2830" sId="1" numFmtId="4">
    <oc r="F597">
      <v>3702.4989999999998</v>
    </oc>
    <nc r="F597">
      <v>3123.9920000000002</v>
    </nc>
  </rcc>
  <rcc rId="2831" sId="1" numFmtId="4">
    <oc r="F598">
      <v>1118.191</v>
    </oc>
    <nc r="F598">
      <v>943.39800000000002</v>
    </nc>
  </rcc>
  <rcc rId="2832" sId="1" numFmtId="4">
    <oc r="F608">
      <v>10</v>
    </oc>
    <nc r="F608">
      <v>30</v>
    </nc>
  </rcc>
  <rcc rId="2833" sId="1" numFmtId="4">
    <oc r="F614">
      <v>16143.69425</v>
    </oc>
    <nc r="F614">
      <v>16247.69425</v>
    </nc>
  </rcc>
  <rrc rId="2834" sId="1" ref="A616:XFD616" action="insertRow"/>
  <rrc rId="2835" sId="1" ref="A616:XFD616" action="insertRow"/>
  <rfmt sheetId="1" sqref="A616" start="0" length="0">
    <dxf>
      <font>
        <i/>
        <color indexed="8"/>
        <name val="Times New Roman"/>
        <family val="1"/>
      </font>
      <fill>
        <patternFill patternType="none"/>
      </fill>
    </dxf>
  </rfmt>
  <rcc rId="2836" sId="1" odxf="1" dxf="1">
    <nc r="B61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37" sId="1" odxf="1" dxf="1">
    <nc r="C61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16" start="0" length="0">
    <dxf>
      <font>
        <i/>
        <name val="Times New Roman"/>
        <family val="1"/>
      </font>
    </dxf>
  </rfmt>
  <rfmt sheetId="1" sqref="E616" start="0" length="0">
    <dxf>
      <font>
        <i/>
        <name val="Times New Roman"/>
        <family val="1"/>
      </font>
    </dxf>
  </rfmt>
  <rcc rId="2838" sId="1" odxf="1" dxf="1">
    <nc r="F616">
      <f>F617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39" sId="1" odxf="1" dxf="1">
    <nc r="A6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840" sId="1">
    <nc r="B617" t="inlineStr">
      <is>
        <t>11</t>
      </is>
    </nc>
  </rcc>
  <rcc rId="2841" sId="1">
    <nc r="C617" t="inlineStr">
      <is>
        <t>03</t>
      </is>
    </nc>
  </rcc>
  <rcc rId="2842" sId="1">
    <nc r="E617" t="inlineStr">
      <is>
        <t>611</t>
      </is>
    </nc>
  </rcc>
  <rcc rId="2843" sId="1" numFmtId="4">
    <nc r="F617">
      <v>1830</v>
    </nc>
  </rcc>
  <rcc rId="2844" sId="1">
    <nc r="D617" t="inlineStr">
      <is>
        <t>09301 S2160</t>
      </is>
    </nc>
  </rcc>
  <rcc rId="2845" sId="1" odxf="1" dxf="1">
    <nc r="D616" t="inlineStr">
      <is>
        <t>09301 S2160</t>
      </is>
    </nc>
    <ndxf>
      <font>
        <i val="0"/>
        <name val="Times New Roman"/>
        <family val="1"/>
      </font>
    </ndxf>
  </rcc>
  <rfmt sheetId="1" sqref="D616" start="0" length="2147483647">
    <dxf>
      <font>
        <i/>
      </font>
    </dxf>
  </rfmt>
  <rcc rId="2846" sId="1" xfDxf="1" dxf="1">
    <nc r="A61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7" sId="1">
    <oc r="F612">
      <f>F613+F618+F620</f>
    </oc>
    <nc r="F612">
      <f>F613+F618+F620+F616</f>
    </nc>
  </rcc>
  <rrc rId="2848" sId="1" ref="A626:XFD626" action="insertRow"/>
  <rrc rId="2849" sId="1" ref="A626:XFD626" action="insertRow"/>
  <rrc rId="2850" sId="1" ref="A626:XFD626" action="insertRow"/>
  <rrc rId="2851" sId="1" ref="A626:XFD626" action="insertRow"/>
  <rcc rId="2852" sId="1" odxf="1" dxf="1">
    <nc r="A62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fmt sheetId="1" sqref="B626" start="0" length="0">
    <dxf>
      <font>
        <b/>
        <name val="Times New Roman"/>
        <family val="1"/>
      </font>
    </dxf>
  </rfmt>
  <rfmt sheetId="1" sqref="C626" start="0" length="0">
    <dxf>
      <font>
        <b/>
        <name val="Times New Roman"/>
        <family val="1"/>
      </font>
    </dxf>
  </rfmt>
  <rcc rId="2853" sId="1" odxf="1" dxf="1">
    <nc r="D626" t="inlineStr">
      <is>
        <t>99900 00000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fmt sheetId="1" sqref="E626" start="0" length="0">
    <dxf>
      <font>
        <b/>
        <name val="Times New Roman"/>
        <family val="1"/>
      </font>
    </dxf>
  </rfmt>
  <rfmt sheetId="1" sqref="F626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854" sId="1">
    <nc r="B626" t="inlineStr">
      <is>
        <t>11</t>
      </is>
    </nc>
  </rcc>
  <rcc rId="2855" sId="1">
    <nc r="C626" t="inlineStr">
      <is>
        <t>03</t>
      </is>
    </nc>
  </rcc>
  <rcc rId="2856" sId="1" odxf="1" dxf="1">
    <nc r="A62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</border>
    </ndxf>
  </rcc>
  <rfmt sheetId="1" sqref="B627" start="0" length="0">
    <dxf>
      <font>
        <i/>
        <name val="Times New Roman"/>
        <family val="1"/>
      </font>
    </dxf>
  </rfmt>
  <rfmt sheetId="1" sqref="C627" start="0" length="0">
    <dxf>
      <font>
        <i/>
        <name val="Times New Roman"/>
        <family val="1"/>
      </font>
    </dxf>
  </rfmt>
  <rcc rId="2857" sId="1">
    <nc r="D627" t="inlineStr">
      <is>
        <t>99900 S2140</t>
      </is>
    </nc>
  </rcc>
  <rfmt sheetId="1" sqref="E627" start="0" length="0">
    <dxf>
      <font>
        <i/>
        <name val="Times New Roman"/>
        <family val="1"/>
      </font>
    </dxf>
  </rfmt>
  <rcc rId="2858" sId="1" odxf="1" dxf="1">
    <nc r="F627">
      <f>F628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628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2859" sId="1" odxf="1" dxf="1">
    <nc r="D628" t="inlineStr">
      <is>
        <t>99900 S2140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60" sId="1">
    <nc r="B627" t="inlineStr">
      <is>
        <t>11</t>
      </is>
    </nc>
  </rcc>
  <rcc rId="2861" sId="1">
    <nc r="C627" t="inlineStr">
      <is>
        <t>03</t>
      </is>
    </nc>
  </rcc>
  <rcc rId="2862" sId="1">
    <nc r="B628" t="inlineStr">
      <is>
        <t>11</t>
      </is>
    </nc>
  </rcc>
  <rcc rId="2863" sId="1">
    <nc r="C628" t="inlineStr">
      <is>
        <t>03</t>
      </is>
    </nc>
  </rcc>
  <rcc rId="2864" sId="1">
    <nc r="E628" t="inlineStr">
      <is>
        <t>612</t>
      </is>
    </nc>
  </rcc>
  <rcc rId="2865" sId="1" numFmtId="4">
    <nc r="F628">
      <v>107.96193</v>
    </nc>
  </rcc>
  <rcc rId="2866" sId="1">
    <nc r="F626">
      <f>F627</f>
    </nc>
  </rcc>
  <rrc rId="2867" sId="1" ref="A629:XFD629" action="deleteRow">
    <rfmt sheetId="1" xfDxf="1" sqref="A629:XFD629" start="0" length="0">
      <dxf>
        <font>
          <i/>
          <name val="Times New Roman CYR"/>
          <family val="1"/>
        </font>
        <alignment wrapText="1"/>
      </dxf>
    </rfmt>
    <rfmt sheetId="1" sqref="A62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868" sId="1">
    <oc r="F609">
      <f>F610</f>
    </oc>
    <nc r="F609">
      <f>F610+F626</f>
    </nc>
  </rcc>
  <rcc rId="2869" sId="1" odxf="1" dxf="1">
    <nc r="A6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2870" sId="1" numFmtId="4">
    <oc r="F634">
      <v>620.15</v>
    </oc>
    <nc r="F634">
      <v>707.2</v>
    </nc>
  </rcc>
  <rcc rId="2871" sId="1" numFmtId="4">
    <oc r="F635">
      <v>187.25</v>
    </oc>
    <nc r="F635">
      <v>210.255</v>
    </nc>
  </rcc>
  <rcc rId="2872" sId="1" numFmtId="4">
    <oc r="F637">
      <v>1531.819</v>
    </oc>
    <nc r="F637">
      <v>1725.5671299999999</v>
    </nc>
  </rcc>
  <rcc rId="2873" sId="1" numFmtId="4">
    <oc r="F638">
      <v>462.58199999999999</v>
    </oc>
    <nc r="F638">
      <v>516.16470000000004</v>
    </nc>
  </rcc>
  <rcc rId="2874" sId="1" numFmtId="4">
    <oc r="F639">
      <v>58.5</v>
    </oc>
    <nc r="F639">
      <v>101</v>
    </nc>
  </rcc>
  <rcc rId="2875" sId="1" numFmtId="4">
    <oc r="F640">
      <v>100.999</v>
    </oc>
    <nc r="F640">
      <v>110.51730000000001</v>
    </nc>
  </rcc>
  <rcc rId="2876" sId="1" numFmtId="4">
    <oc r="F644">
      <v>106350</v>
    </oc>
    <nc r="F644">
      <v>93249.86</v>
    </nc>
  </rcc>
  <rrc rId="2877" sId="1" ref="A645:XFD645" action="insertRow"/>
  <rrc rId="2878" sId="1" ref="A645:XFD645" action="insertRow"/>
  <rrc rId="2879" sId="1" ref="A646:XFD646" action="insertRow"/>
  <rrc rId="2880" sId="1" ref="A645:XFD645" action="insertRow"/>
  <rrc rId="2881" sId="1" ref="A646:XFD646" action="insertRow"/>
  <rcc rId="2882" sId="1" odxf="1" dxf="1">
    <nc r="A64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645" start="0" length="0">
    <dxf>
      <font>
        <i/>
        <name val="Times New Roman"/>
        <family val="1"/>
      </font>
    </dxf>
  </rfmt>
  <rfmt sheetId="1" sqref="C645" start="0" length="0">
    <dxf>
      <font>
        <i/>
        <name val="Times New Roman"/>
        <family val="1"/>
      </font>
    </dxf>
  </rfmt>
  <rcc rId="2883" sId="1" odxf="1" dxf="1">
    <nc r="D64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5" start="0" length="0">
    <dxf>
      <font>
        <i/>
        <name val="Times New Roman"/>
        <family val="1"/>
      </font>
    </dxf>
  </rfmt>
  <rfmt sheetId="1" sqref="F6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884" sId="1" odxf="1" dxf="1">
    <nc r="A646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885" sId="1">
    <nc r="D646" t="inlineStr">
      <is>
        <t>99900 55493</t>
      </is>
    </nc>
  </rcc>
  <rcc rId="2886" sId="1">
    <nc r="E646" t="inlineStr">
      <is>
        <t>111</t>
      </is>
    </nc>
  </rcc>
  <rfmt sheetId="1" sqref="F646" start="0" length="0">
    <dxf>
      <fill>
        <patternFill patternType="none">
          <bgColor indexed="65"/>
        </patternFill>
      </fill>
    </dxf>
  </rfmt>
  <rcc rId="2887" sId="1">
    <nc r="A64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888" sId="1">
    <nc r="D647" t="inlineStr">
      <is>
        <t>99900 55493</t>
      </is>
    </nc>
  </rcc>
  <rcc rId="2889" sId="1">
    <nc r="E647" t="inlineStr">
      <is>
        <t>119</t>
      </is>
    </nc>
  </rcc>
  <rcc rId="2890" sId="1">
    <nc r="A648" t="inlineStr">
      <is>
        <t>Фонд оплаты труда государственных (муниципальных) органов</t>
      </is>
    </nc>
  </rcc>
  <rcc rId="2891" sId="1">
    <nc r="D648" t="inlineStr">
      <is>
        <t>99900 55493</t>
      </is>
    </nc>
  </rcc>
  <rcc rId="2892" sId="1">
    <nc r="E648" t="inlineStr">
      <is>
        <t>121</t>
      </is>
    </nc>
  </rcc>
  <rcc rId="2893" sId="1">
    <nc r="A64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894" sId="1">
    <nc r="D649" t="inlineStr">
      <is>
        <t>99900 55493</t>
      </is>
    </nc>
  </rcc>
  <rcc rId="2895" sId="1">
    <nc r="E649" t="inlineStr">
      <is>
        <t>129</t>
      </is>
    </nc>
  </rcc>
  <rcc rId="2896" sId="1">
    <nc r="B645" t="inlineStr">
      <is>
        <t>11</t>
      </is>
    </nc>
  </rcc>
  <rcc rId="2897" sId="1">
    <nc r="C645" t="inlineStr">
      <is>
        <t>05</t>
      </is>
    </nc>
  </rcc>
  <rcc rId="2898" sId="1">
    <nc r="B646" t="inlineStr">
      <is>
        <t>11</t>
      </is>
    </nc>
  </rcc>
  <rcc rId="2899" sId="1">
    <nc r="C646" t="inlineStr">
      <is>
        <t>05</t>
      </is>
    </nc>
  </rcc>
  <rcc rId="2900" sId="1">
    <nc r="B647" t="inlineStr">
      <is>
        <t>11</t>
      </is>
    </nc>
  </rcc>
  <rcc rId="2901" sId="1">
    <nc r="C647" t="inlineStr">
      <is>
        <t>05</t>
      </is>
    </nc>
  </rcc>
  <rcc rId="2902" sId="1">
    <nc r="B648" t="inlineStr">
      <is>
        <t>11</t>
      </is>
    </nc>
  </rcc>
  <rcc rId="2903" sId="1">
    <nc r="C648" t="inlineStr">
      <is>
        <t>05</t>
      </is>
    </nc>
  </rcc>
  <rcc rId="2904" sId="1">
    <nc r="B649" t="inlineStr">
      <is>
        <t>11</t>
      </is>
    </nc>
  </rcc>
  <rcc rId="2905" sId="1">
    <nc r="C649" t="inlineStr">
      <is>
        <t>05</t>
      </is>
    </nc>
  </rcc>
  <rcc rId="2906" sId="1" numFmtId="4">
    <nc r="F646">
      <v>2.9</v>
    </nc>
  </rcc>
  <rcc rId="2907" sId="1" numFmtId="4">
    <nc r="F647">
      <v>0.87580000000000002</v>
    </nc>
  </rcc>
  <rcc rId="2908" sId="1" numFmtId="4">
    <nc r="F648">
      <v>26.111999999999998</v>
    </nc>
  </rcc>
  <rcc rId="2909" sId="1" numFmtId="4">
    <nc r="F649">
      <v>7.8864000000000001</v>
    </nc>
  </rcc>
  <rcc rId="2910" sId="1">
    <nc r="F645">
      <f>SUM(F646:F649)</f>
    </nc>
  </rcc>
  <rrc rId="2911" sId="1" ref="A645:XFD645" action="insertRow"/>
  <rcc rId="2912" sId="1" odxf="1" dxf="1">
    <nc r="A64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2913" sId="1" odxf="1" dxf="1">
    <nc r="B645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645" start="0" length="0">
    <dxf>
      <font>
        <b/>
        <name val="Times New Roman"/>
        <family val="1"/>
      </font>
    </dxf>
  </rfmt>
  <rcc rId="2914" sId="1" odxf="1" dxf="1">
    <nc r="D64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45" start="0" length="0">
    <dxf>
      <font>
        <b/>
        <name val="Times New Roman"/>
        <family val="1"/>
      </font>
    </dxf>
  </rfmt>
  <rcc rId="2915" sId="1" odxf="1" dxf="1">
    <nc r="F645">
      <f>F646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16" sId="1">
    <nc r="C645" t="inlineStr">
      <is>
        <t>05</t>
      </is>
    </nc>
  </rcc>
  <rcc rId="2917" sId="1">
    <oc r="F629">
      <f>F630</f>
    </oc>
    <nc r="F629">
      <f>F630+F645</f>
    </nc>
  </rcc>
  <rcc rId="2918" sId="1" numFmtId="4">
    <oc r="F657">
      <f>17.15178+3.95753</f>
    </oc>
    <nc r="F657">
      <v>21.27251</v>
    </nc>
  </rcc>
  <rcc rId="2919" sId="1" numFmtId="4">
    <oc r="F672">
      <v>23176.3</v>
    </oc>
    <nc r="F672">
      <v>27683.5</v>
    </nc>
  </rcc>
  <rcc rId="2920" sId="1" numFmtId="4">
    <oc r="F679">
      <v>10309.508900000001</v>
    </oc>
    <nc r="F679">
      <v>9720.5397200000007</v>
    </nc>
  </rcc>
  <rrc rId="2921" sId="1" ref="A678:XFD678" action="insertRow"/>
  <rrc rId="2922" sId="1" ref="A679:XFD679" action="insertRow"/>
  <rcc rId="2923" sId="1" odxf="1" dxf="1">
    <nc r="A678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fmt sheetId="1" sqref="B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924" sId="1" odxf="1" dxf="1">
    <nc r="D678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679" start="0" length="0">
    <dxf>
      <font>
        <b val="0"/>
        <name val="Times New Roman"/>
        <family val="1"/>
      </font>
      <numFmt numFmtId="30" formatCode="@"/>
      <alignment horizontal="left" vertical="top"/>
    </dxf>
  </rfmt>
  <rfmt sheetId="1" sqref="B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925" sId="1" odxf="1" dxf="1">
    <nc r="D679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926" sId="1">
    <nc r="B678" t="inlineStr">
      <is>
        <t>14</t>
      </is>
    </nc>
  </rcc>
  <rcc rId="2927" sId="1">
    <nc r="C678" t="inlineStr">
      <is>
        <t>03</t>
      </is>
    </nc>
  </rcc>
  <rcc rId="2928" sId="1">
    <nc r="C679" t="inlineStr">
      <is>
        <t>03</t>
      </is>
    </nc>
  </rcc>
  <rcc rId="2929" sId="1">
    <nc r="B679" t="inlineStr">
      <is>
        <t>14</t>
      </is>
    </nc>
  </rcc>
  <rcc rId="2930" sId="1">
    <nc r="E679" t="inlineStr">
      <is>
        <t>540</t>
      </is>
    </nc>
  </rcc>
  <rcc rId="2931" sId="1" odxf="1" dxf="1">
    <nc r="A679" t="inlineStr">
      <is>
        <t>Иные межбюджетные трансферты</t>
      </is>
    </nc>
    <ndxf>
      <font>
        <color indexed="8"/>
        <name val="Times New Roman"/>
        <family val="1"/>
      </font>
      <numFmt numFmtId="0" formatCode="General"/>
      <alignment vertical="center"/>
    </ndxf>
  </rcc>
  <rcc rId="2932" sId="1" numFmtId="4">
    <nc r="F679">
      <v>210.3511</v>
    </nc>
  </rcc>
  <rcc rId="2933" sId="1">
    <nc r="F678">
      <f>F679</f>
    </nc>
  </rcc>
  <rcc rId="2934" sId="1">
    <oc r="F677">
      <f>F680</f>
    </oc>
    <nc r="F677">
      <f>F680+F678</f>
    </nc>
  </rcc>
  <rcc rId="2935" sId="1" numFmtId="4">
    <nc r="F686">
      <v>2027785.5151800001</v>
    </nc>
  </rcc>
  <rcc rId="2936" sId="1">
    <nc r="F688">
      <f>F682-F686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функцион.структура!$A$4:$F$682</formula>
    <oldFormula>функцион.структура!$A$4:$F$682</oldFormula>
  </rdn>
  <rdn rId="0" localSheetId="1" customView="1" name="Z_629918FE_B1DF_464A_BF50_03D18729BC02_.wvu.FilterData" hidden="1" oldHidden="1">
    <formula>функцион.структура!$A$20:$F$689</formula>
    <oldFormula>функцион.структура!$A$20:$F$689</oldFormula>
  </rdn>
  <rcv guid="{629918FE-B1DF-464A-BF50-03D18729BC02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7" sId="1" xfDxf="1" dxf="1">
    <nc r="F462">
      <f>F463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8" sId="1" xfDxf="1" dxf="1">
    <nc r="F461">
      <f>F462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39" sId="1">
    <oc r="F453">
      <f>SUM(F454:F460)</f>
    </oc>
    <nc r="F453">
      <f>SUM(F454:F460)</f>
    </nc>
  </rcc>
  <rrc rId="2940" sId="1" ref="A474:XFD474" action="insertRow"/>
  <rcc rId="2941" sId="1" odxf="1" dxf="1">
    <nc r="A474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cc rId="2942" sId="1" odxf="1" dxf="1">
    <nc r="B474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C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2943" sId="1" odxf="1" dxf="1">
    <nc r="D474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2944" sId="1">
    <nc r="C474" t="inlineStr">
      <is>
        <t>09</t>
      </is>
    </nc>
  </rcc>
  <rcc rId="2945" sId="1">
    <nc r="F474">
      <f>F475</f>
    </nc>
  </rcc>
  <rcc rId="2946" sId="1">
    <oc r="F475">
      <f>SUM(F476:F479)</f>
    </oc>
    <nc r="F475">
      <f>SUM(F476:F479)</f>
    </nc>
  </rcc>
  <rcc rId="2947" sId="1">
    <oc r="F439">
      <f>F440</f>
    </oc>
    <nc r="F439">
      <f>F440+F474</f>
    </nc>
  </rcc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48" sId="1">
    <oc r="F147">
      <f>SUM(F148:F152)</f>
    </oc>
    <nc r="F147">
      <f>SUM(F148:F152)</f>
    </nc>
  </rcc>
  <rcc rId="2949" sId="1">
    <oc r="F143">
      <f>F144+F155+F160+F166+F173+F171+F175+F189+F191+F153+F187</f>
    </oc>
    <nc r="F143">
      <f>F144+F155+F160+F166+F173+F171+F175+F189+F191+F153+F187+F147</f>
    </nc>
  </rcc>
  <rcc rId="2950" sId="1">
    <oc r="F211">
      <f>F215+F217+F220+F222+F225+F227+F230</f>
    </oc>
    <nc r="F211">
      <f>F215+F217+F220+F222+F225+F227+F230+F212</f>
    </nc>
  </rcc>
  <rcc rId="2951" sId="1">
    <oc r="F201">
      <f>F202+F247+F261+F237</f>
    </oc>
    <nc r="F201">
      <f>F202+F247+F261+F237+F242</f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52" sId="1">
    <oc r="B380" t="inlineStr">
      <is>
        <t>01</t>
      </is>
    </oc>
    <nc r="B380" t="inlineStr">
      <is>
        <t>07</t>
      </is>
    </nc>
  </rcc>
  <rcc rId="2953" sId="1">
    <oc r="C380" t="inlineStr">
      <is>
        <t>13</t>
      </is>
    </oc>
    <nc r="C380" t="inlineStr">
      <is>
        <t>02</t>
      </is>
    </nc>
  </rcc>
  <rcc rId="2954" sId="1">
    <oc r="B381" t="inlineStr">
      <is>
        <t>01</t>
      </is>
    </oc>
    <nc r="B381" t="inlineStr">
      <is>
        <t>07</t>
      </is>
    </nc>
  </rcc>
  <rcc rId="2955" sId="1">
    <oc r="C381" t="inlineStr">
      <is>
        <t>13</t>
      </is>
    </oc>
    <nc r="C381" t="inlineStr">
      <is>
        <t>02</t>
      </is>
    </nc>
  </rcc>
  <rcc rId="2956" sId="1">
    <oc r="C322" t="inlineStr">
      <is>
        <t>02</t>
      </is>
    </oc>
    <nc r="C322" t="inlineStr">
      <is>
        <t>03</t>
      </is>
    </nc>
  </rcc>
  <rcc rId="2957" sId="1">
    <oc r="C323" t="inlineStr">
      <is>
        <t>02</t>
      </is>
    </oc>
    <nc r="C323" t="inlineStr">
      <is>
        <t>03</t>
      </is>
    </nc>
  </rcc>
  <rcc rId="2958" sId="1">
    <oc r="C324" t="inlineStr">
      <is>
        <t>02</t>
      </is>
    </oc>
    <nc r="C324" t="inlineStr">
      <is>
        <t>03</t>
      </is>
    </nc>
  </rcc>
  <rcc rId="2959" sId="1">
    <oc r="C325" t="inlineStr">
      <is>
        <t>02</t>
      </is>
    </oc>
    <nc r="C325" t="inlineStr">
      <is>
        <t>03</t>
      </is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60" sId="1" numFmtId="4">
    <oc r="F369">
      <v>6294.5456800000002</v>
    </oc>
    <nc r="F369">
      <f>6294.54568-118.74154</f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63" sId="1" numFmtId="4">
    <oc r="F35">
      <v>10</v>
    </oc>
    <nc r="F35">
      <v>11.9</v>
    </nc>
  </rcc>
  <rcc rId="2964" sId="1" numFmtId="4">
    <oc r="F44">
      <v>1192.1790800000001</v>
    </oc>
    <nc r="F44">
      <v>1210.0350900000001</v>
    </nc>
  </rcc>
  <rcc rId="2965" sId="1" numFmtId="4">
    <oc r="F46">
      <v>356.59550999999999</v>
    </oc>
    <nc r="F46">
      <v>361.32650999999998</v>
    </nc>
  </rcc>
  <rcc rId="2966" sId="1" numFmtId="4">
    <oc r="F51">
      <v>1915.15762</v>
    </oc>
    <nc r="F51">
      <v>1619.3532700000001</v>
    </nc>
  </rcc>
  <rcc rId="2967" sId="1" numFmtId="4">
    <oc r="F53">
      <v>508.71989000000002</v>
    </oc>
    <nc r="F53">
      <v>517.20406000000003</v>
    </nc>
  </rcc>
  <rcc rId="2968" sId="1" numFmtId="4">
    <oc r="F61">
      <v>8756.2701400000005</v>
    </oc>
    <nc r="F61">
      <v>7937.0794299999998</v>
    </nc>
  </rcc>
  <rcc rId="2969" sId="1" numFmtId="4">
    <oc r="F62">
      <v>2564.72901</v>
    </oc>
    <nc r="F62">
      <v>2232.1145999999999</v>
    </nc>
  </rcc>
  <rcc rId="2970" sId="1" numFmtId="4">
    <oc r="F80">
      <v>20</v>
    </oc>
    <nc r="F80">
      <v>21.9</v>
    </nc>
  </rcc>
  <rcc rId="2971" sId="1" numFmtId="4">
    <oc r="F85">
      <v>5574.9570700000004</v>
    </oc>
    <nc r="F85">
      <v>5296.35</v>
    </nc>
  </rcc>
  <rcc rId="2972" sId="1" numFmtId="4">
    <oc r="F87">
      <v>1672.2868000000001</v>
    </oc>
    <nc r="F87">
      <v>1537.4</v>
    </nc>
  </rcc>
  <rcc rId="2973" sId="1" numFmtId="4">
    <oc r="F92">
      <v>3044.2</v>
    </oc>
    <nc r="F92">
      <v>3447.10707</v>
    </nc>
  </rcc>
  <rcc rId="2974" sId="1" numFmtId="4">
    <oc r="F93">
      <v>919.34</v>
    </oc>
    <nc r="F93">
      <v>1079.4268</v>
    </nc>
  </rcc>
  <rcc rId="2975" sId="1" numFmtId="4">
    <oc r="F111">
      <v>245</v>
    </oc>
    <nc r="F111">
      <v>218.4</v>
    </nc>
  </rcc>
  <rrc rId="2976" sId="1" ref="A112:XFD112" action="insertRow"/>
  <rcc rId="2977" sId="1">
    <nc r="B112" t="inlineStr">
      <is>
        <t>01</t>
      </is>
    </nc>
  </rcc>
  <rcc rId="2978" sId="1">
    <nc r="C112" t="inlineStr">
      <is>
        <t>13</t>
      </is>
    </nc>
  </rcc>
  <rcc rId="2979" sId="1">
    <nc r="D112" t="inlineStr">
      <is>
        <t>01002 S2870</t>
      </is>
    </nc>
  </rcc>
  <rcc rId="2980" sId="1">
    <nc r="E112" t="inlineStr">
      <is>
        <t>540</t>
      </is>
    </nc>
  </rcc>
  <rcc rId="2981" sId="1" numFmtId="4">
    <nc r="F112">
      <v>21.85</v>
    </nc>
  </rcc>
  <rcc rId="2982" sId="1" odxf="1" dxf="1">
    <nc r="A112" t="inlineStr">
      <is>
        <t>Иные межбюджетные трансферты</t>
      </is>
    </nc>
    <ndxf>
      <alignment vertical="center"/>
    </ndxf>
  </rcc>
  <rcc rId="2983" sId="1">
    <oc r="F110">
      <f>F111</f>
    </oc>
    <nc r="F110">
      <f>F111+F112</f>
    </nc>
  </rcc>
  <rcc rId="2984" sId="1" numFmtId="4">
    <oc r="F146">
      <v>340.5</v>
    </oc>
    <nc r="F146">
      <v>1159.6907100000001</v>
    </nc>
  </rcc>
  <rcc rId="2985" sId="1" numFmtId="4">
    <oc r="F147">
      <v>102.77</v>
    </oc>
    <nc r="F147">
      <v>435.38441</v>
    </nc>
  </rcc>
  <rcc rId="2986" sId="1" numFmtId="4">
    <oc r="F173">
      <v>220.13181</v>
    </oc>
    <nc r="F173">
      <v>214.36411000000001</v>
    </nc>
  </rcc>
  <rcc rId="2987" sId="1" numFmtId="4">
    <oc r="F175">
      <v>7475.68858</v>
    </oc>
    <nc r="F175">
      <v>7286.3403500000004</v>
    </nc>
  </rcc>
  <rcc rId="2988" sId="1" numFmtId="4">
    <oc r="F178">
      <v>10862.504639999999</v>
    </oc>
    <nc r="F178">
      <v>10829.497380000001</v>
    </nc>
  </rcc>
  <rcc rId="2989" sId="1" numFmtId="4">
    <oc r="F180">
      <v>3194.3247299999998</v>
    </oc>
    <nc r="F180">
      <v>3227.3319900000001</v>
    </nc>
  </rcc>
  <rcc rId="2990" sId="1" numFmtId="4">
    <oc r="F181">
      <v>807.64300000000003</v>
    </oc>
    <nc r="F181">
      <v>853.40869999999995</v>
    </nc>
  </rcc>
  <rcc rId="2991" sId="1" numFmtId="4">
    <oc r="F182">
      <v>6748.0847000000003</v>
    </oc>
    <nc r="F182">
      <v>6708.0866999999998</v>
    </nc>
  </rcc>
  <rcc rId="2992" sId="1" numFmtId="4">
    <oc r="F233">
      <v>1156.8364999999999</v>
    </oc>
    <nc r="F233">
      <v>1162.6501599999999</v>
    </nc>
  </rcc>
  <rcc rId="2993" sId="1" numFmtId="4">
    <oc r="F235">
      <v>344.9</v>
    </oc>
    <nc r="F235">
      <v>346.66773999999998</v>
    </nc>
  </rcc>
  <rcc rId="2994" sId="1" numFmtId="4">
    <oc r="F337">
      <v>35363.682399999998</v>
    </oc>
    <nc r="F337">
      <v>35036.650099999999</v>
    </nc>
  </rcc>
  <rcc rId="2995" sId="1" numFmtId="4">
    <oc r="F353">
      <v>69698.4666</v>
    </oc>
    <nc r="F353">
      <v>69866.206600000005</v>
    </nc>
  </rcc>
  <rcc rId="2996" sId="1" numFmtId="4">
    <oc r="F360">
      <f>8922.5+9186.38</f>
    </oc>
    <nc r="F360">
      <v>17941.14</v>
    </nc>
  </rcc>
  <rcc rId="2997" sId="1" numFmtId="4">
    <oc r="F377">
      <v>360</v>
    </oc>
    <nc r="F377">
      <v>0</v>
    </nc>
  </rcc>
  <rcc rId="2998" sId="1" numFmtId="4">
    <oc r="F455">
      <v>5556.759</v>
    </oc>
    <nc r="F455">
      <v>5523.7922699999999</v>
    </nc>
  </rcc>
  <rcc rId="2999" sId="1" numFmtId="4">
    <oc r="F456">
      <v>2480.875</v>
    </oc>
    <nc r="F456">
      <v>2480.8740299999999</v>
    </nc>
  </rcc>
  <rcc rId="3000" sId="1" numFmtId="4">
    <oc r="F463">
      <v>11403.586950000001</v>
    </oc>
    <nc r="F463">
      <v>11648.441629999999</v>
    </nc>
  </rcc>
  <rcc rId="3001" sId="1" numFmtId="4">
    <oc r="F464">
      <v>3066.6130499999999</v>
    </oc>
    <nc r="F464">
      <v>2821.75837</v>
    </nc>
  </rcc>
  <rrc rId="3002" sId="1" ref="A475:XFD475" action="insertRow"/>
  <rrc rId="3003" sId="1" ref="A475:XFD475" action="insertRow"/>
  <rrc rId="3004" sId="1" ref="A475:XFD476" action="insertRow"/>
  <rrc rId="3005" sId="1" ref="A475:XFD478" action="insertRow"/>
  <rcc rId="3006" sId="1" numFmtId="4">
    <oc r="F569">
      <v>2293.13</v>
    </oc>
    <nc r="F569">
      <v>2223.13</v>
    </nc>
  </rcc>
  <rcc rId="3007" sId="1" numFmtId="4">
    <oc r="F578">
      <v>2359.4597899999999</v>
    </oc>
    <nc r="F578">
      <v>2301.6913199999999</v>
    </nc>
  </rcc>
  <rcc rId="3008" sId="1" numFmtId="4">
    <oc r="F602">
      <v>18.559999999999999</v>
    </oc>
    <nc r="F602">
      <v>7.92</v>
    </nc>
  </rcc>
  <rcc rId="3009" sId="1" numFmtId="4">
    <oc r="F604">
      <v>411.00400000000002</v>
    </oc>
    <nc r="F604">
      <v>421.00400000000002</v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10" sId="1" numFmtId="4">
    <oc r="F696">
      <v>2027785.5151800001</v>
    </oc>
    <nc r="F696">
      <v>2029990.24697</v>
    </nc>
  </rcc>
  <rrc rId="3011" sId="1" ref="A614:XFD614" action="insertRow"/>
  <rrc rId="3012" sId="1" ref="A614:XFD614" action="insertRow"/>
  <rcc rId="3013" sId="1">
    <nc r="A615" t="inlineStr">
      <is>
        <t>Иные межбюджетные трансферты</t>
      </is>
    </nc>
  </rcc>
  <rcc rId="3014" sId="1">
    <nc r="B615" t="inlineStr">
      <is>
        <t>11</t>
      </is>
    </nc>
  </rcc>
  <rcc rId="3015" sId="1">
    <nc r="C615" t="inlineStr">
      <is>
        <t>02</t>
      </is>
    </nc>
  </rcc>
  <rcc rId="3016" sId="1">
    <nc r="E615" t="inlineStr">
      <is>
        <t>540</t>
      </is>
    </nc>
  </rcc>
  <rcc rId="3017" sId="1">
    <nc r="D615" t="inlineStr">
      <is>
        <t>094P5 5139F</t>
      </is>
    </nc>
  </rcc>
  <rcc rId="3018" sId="1" numFmtId="4">
    <nc r="F615">
      <v>2451.2417999999998</v>
    </nc>
  </rcc>
  <rcc rId="3019" sId="1">
    <nc r="F614">
      <f>F615</f>
    </nc>
  </rcc>
  <rfmt sheetId="1" sqref="A614:XFD614" start="0" length="2147483647">
    <dxf>
      <font>
        <i/>
      </font>
    </dxf>
  </rfmt>
  <rcc rId="3020" sId="1">
    <oc r="F610">
      <f>F611</f>
    </oc>
    <nc r="F610">
      <f>F611+F614</f>
    </nc>
  </rcc>
  <rcc rId="3021" sId="1" odxf="1" dxf="1">
    <nc r="B61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22" sId="1" odxf="1" dxf="1">
    <nc r="C61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23" sId="1" odxf="1" dxf="1">
    <nc r="D614" t="inlineStr">
      <is>
        <t>094P5 5139F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14:D614" start="0" length="2147483647">
    <dxf>
      <font>
        <i/>
      </font>
    </dxf>
  </rfmt>
  <rcc rId="3024" sId="1" xfDxf="1" dxf="1">
    <nc r="A614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функцион.структура!$A$4:$F$694</formula>
    <oldFormula>функцион.структура!$A$4:$F$694</oldFormula>
  </rdn>
  <rdn rId="0" localSheetId="1" customView="1" name="Z_629918FE_B1DF_464A_BF50_03D18729BC02_.wvu.FilterData" hidden="1" oldHidden="1">
    <formula>функцион.структура!$A$20:$F$701</formula>
    <oldFormula>функцион.структура!$A$20:$F$701</oldFormula>
  </rdn>
  <rcv guid="{629918FE-B1DF-464A-BF50-03D18729BC02}" action="add"/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27" sId="1" ref="A642:XFD645" action="insertRow"/>
  <rcc rId="3028" sId="1" odxf="1" dxf="1">
    <nc r="A642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642" start="0" length="0">
    <dxf>
      <fill>
        <patternFill patternType="none">
          <bgColor indexed="65"/>
        </patternFill>
      </fill>
    </dxf>
  </rfmt>
  <rfmt sheetId="1" sqref="C642" start="0" length="0">
    <dxf>
      <fill>
        <patternFill patternType="none">
          <bgColor indexed="65"/>
        </patternFill>
      </fill>
    </dxf>
  </rfmt>
  <rcc rId="3029" sId="1" odxf="1" dxf="1">
    <nc r="D642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642" start="0" length="0">
    <dxf>
      <fill>
        <patternFill patternType="none">
          <bgColor indexed="65"/>
        </patternFill>
      </fill>
    </dxf>
  </rfmt>
  <rcc rId="3030" sId="1" odxf="1" dxf="1">
    <nc r="F642">
      <f>F643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3031" sId="1" odxf="1" dxf="1">
    <nc r="A643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2" sId="1" odxf="1" dxf="1">
    <nc r="D643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3" sId="1" odxf="1" dxf="1">
    <nc r="F643">
      <f>F644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3034" sId="1" odxf="1" dxf="1">
    <nc r="A64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5" sId="1" odxf="1" dxf="1">
    <nc r="D644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6" sId="1" odxf="1" dxf="1">
    <nc r="F644">
      <f>F645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44" start="0" length="0">
    <dxf>
      <font>
        <i/>
        <name val="Times New Roman CYR"/>
        <family val="1"/>
      </font>
    </dxf>
  </rfmt>
  <rfmt sheetId="1" sqref="H644" start="0" length="0">
    <dxf>
      <font>
        <i/>
        <name val="Times New Roman CYR"/>
        <family val="1"/>
      </font>
      <numFmt numFmtId="165" formatCode="0.00000"/>
    </dxf>
  </rfmt>
  <rfmt sheetId="1" sqref="I644" start="0" length="0">
    <dxf>
      <font>
        <i/>
        <name val="Times New Roman CYR"/>
        <family val="1"/>
      </font>
    </dxf>
  </rfmt>
  <rfmt sheetId="1" sqref="J644" start="0" length="0">
    <dxf>
      <font>
        <i/>
        <name val="Times New Roman CYR"/>
        <family val="1"/>
      </font>
    </dxf>
  </rfmt>
  <rfmt sheetId="1" sqref="K644" start="0" length="0">
    <dxf>
      <font>
        <i/>
        <name val="Times New Roman CYR"/>
        <family val="1"/>
      </font>
    </dxf>
  </rfmt>
  <rfmt sheetId="1" sqref="L644" start="0" length="0">
    <dxf>
      <font>
        <i/>
        <name val="Times New Roman CYR"/>
        <family val="1"/>
      </font>
    </dxf>
  </rfmt>
  <rfmt sheetId="1" sqref="M644" start="0" length="0">
    <dxf>
      <font>
        <i/>
        <name val="Times New Roman CYR"/>
        <family val="1"/>
      </font>
    </dxf>
  </rfmt>
  <rfmt sheetId="1" sqref="N644" start="0" length="0">
    <dxf>
      <font>
        <i/>
        <name val="Times New Roman CYR"/>
        <family val="1"/>
      </font>
    </dxf>
  </rfmt>
  <rfmt sheetId="1" sqref="O644" start="0" length="0">
    <dxf>
      <font>
        <i/>
        <name val="Times New Roman CYR"/>
        <family val="1"/>
      </font>
    </dxf>
  </rfmt>
  <rfmt sheetId="1" sqref="A644:XFD644" start="0" length="0">
    <dxf>
      <font>
        <i/>
        <name val="Times New Roman CYR"/>
        <family val="1"/>
      </font>
    </dxf>
  </rfmt>
  <rcc rId="3037" sId="1" odxf="1" dxf="1">
    <nc r="A645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64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4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3038" sId="1" odxf="1" dxf="1">
    <nc r="D645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3039" sId="1" odxf="1" dxf="1">
    <nc r="E645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4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3040" sId="1">
    <nc r="B642" t="inlineStr">
      <is>
        <t>11</t>
      </is>
    </nc>
  </rcc>
  <rcc rId="3041" sId="1">
    <nc r="B643" t="inlineStr">
      <is>
        <t>11</t>
      </is>
    </nc>
  </rcc>
  <rcc rId="3042" sId="1">
    <nc r="B644" t="inlineStr">
      <is>
        <t>11</t>
      </is>
    </nc>
  </rcc>
  <rcc rId="3043" sId="1">
    <nc r="B645" t="inlineStr">
      <is>
        <t>11</t>
      </is>
    </nc>
  </rcc>
  <rcc rId="3044" sId="1">
    <nc r="C645" t="inlineStr">
      <is>
        <t>05</t>
      </is>
    </nc>
  </rcc>
  <rcc rId="3045" sId="1">
    <nc r="C644" t="inlineStr">
      <is>
        <t>05</t>
      </is>
    </nc>
  </rcc>
  <rcc rId="3046" sId="1">
    <nc r="C643" t="inlineStr">
      <is>
        <t>05</t>
      </is>
    </nc>
  </rcc>
  <rcc rId="3047" sId="1">
    <nc r="C642" t="inlineStr">
      <is>
        <t>05</t>
      </is>
    </nc>
  </rcc>
  <rcc rId="3048" sId="1" numFmtId="4">
    <nc r="F645">
      <v>0.95</v>
    </nc>
  </rcc>
  <rcc rId="3049" sId="1">
    <oc r="F641">
      <f>F646+F661</f>
    </oc>
    <nc r="F641">
      <f>F646+F661+F642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50" sId="1" ref="A525:XFD529" action="insertRow"/>
  <rcc rId="3051" sId="1" odxf="1" dxf="1">
    <nc r="A52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  <border outline="0">
        <left/>
      </border>
    </odxf>
    <ndxf>
      <font>
        <b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5" start="0" length="0">
    <dxf>
      <font>
        <b/>
        <name val="Times New Roman"/>
        <family val="1"/>
      </font>
    </dxf>
  </rfmt>
  <rfmt sheetId="1" sqref="C525" start="0" length="0">
    <dxf>
      <font>
        <b/>
        <name val="Times New Roman"/>
        <family val="1"/>
      </font>
    </dxf>
  </rfmt>
  <rcc rId="3052" sId="1" odxf="1" dxf="1">
    <nc r="D525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25" start="0" length="0">
    <dxf>
      <font>
        <b/>
        <name val="Times New Roman"/>
        <family val="1"/>
      </font>
    </dxf>
  </rfmt>
  <rfmt sheetId="1" sqref="F525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525" start="0" length="0">
    <dxf>
      <font>
        <i/>
        <name val="Times New Roman CYR"/>
        <family val="1"/>
      </font>
    </dxf>
  </rfmt>
  <rfmt sheetId="1" sqref="H525" start="0" length="0">
    <dxf>
      <font>
        <i/>
        <name val="Times New Roman CYR"/>
        <family val="1"/>
      </font>
    </dxf>
  </rfmt>
  <rfmt sheetId="1" sqref="I525" start="0" length="0">
    <dxf>
      <font>
        <i/>
        <name val="Times New Roman CYR"/>
        <family val="1"/>
      </font>
    </dxf>
  </rfmt>
  <rfmt sheetId="1" sqref="J525" start="0" length="0">
    <dxf>
      <font>
        <i/>
        <name val="Times New Roman CYR"/>
        <family val="1"/>
      </font>
    </dxf>
  </rfmt>
  <rfmt sheetId="1" sqref="K525" start="0" length="0">
    <dxf>
      <font>
        <i/>
        <name val="Times New Roman CYR"/>
        <family val="1"/>
      </font>
    </dxf>
  </rfmt>
  <rfmt sheetId="1" sqref="L525" start="0" length="0">
    <dxf>
      <font>
        <i/>
        <name val="Times New Roman CYR"/>
        <family val="1"/>
      </font>
    </dxf>
  </rfmt>
  <rfmt sheetId="1" sqref="M525" start="0" length="0">
    <dxf>
      <font>
        <i/>
        <name val="Times New Roman CYR"/>
        <family val="1"/>
      </font>
    </dxf>
  </rfmt>
  <rfmt sheetId="1" sqref="N525" start="0" length="0">
    <dxf>
      <font>
        <i/>
        <name val="Times New Roman CYR"/>
        <family val="1"/>
      </font>
    </dxf>
  </rfmt>
  <rfmt sheetId="1" sqref="O525" start="0" length="0">
    <dxf>
      <font>
        <i/>
        <name val="Times New Roman CYR"/>
        <family val="1"/>
      </font>
    </dxf>
  </rfmt>
  <rfmt sheetId="1" sqref="A525:XFD525" start="0" length="0">
    <dxf>
      <font>
        <i/>
        <name val="Times New Roman CYR"/>
        <family val="1"/>
      </font>
    </dxf>
  </rfmt>
  <rcc rId="3053" sId="1" odxf="1" dxf="1">
    <nc r="A526" t="inlineStr">
      <is>
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</is>
    </nc>
    <odxf>
      <font>
        <b val="0"/>
        <i val="0"/>
        <color indexed="8"/>
        <name val="Times New Roman"/>
        <family val="1"/>
      </font>
      <border outline="0">
        <left/>
      </border>
    </odxf>
    <ndxf>
      <font>
        <b/>
        <i/>
        <color indexed="8"/>
        <name val="Times New Roman"/>
        <family val="1"/>
      </font>
      <border outline="0">
        <left style="thin">
          <color indexed="64"/>
        </left>
      </border>
    </ndxf>
  </rcc>
  <rcc rId="3054" sId="1" odxf="1" dxf="1">
    <nc r="B526" t="inlineStr">
      <is>
        <t>07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3055" sId="1" odxf="1" dxf="1">
    <nc r="C526" t="inlineStr">
      <is>
        <t>02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3056" sId="1" odxf="1" dxf="1">
    <nc r="D526" t="inlineStr">
      <is>
        <t>22100 00000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526" start="0" length="0">
    <dxf>
      <font>
        <b/>
        <i/>
        <name val="Times New Roman"/>
        <family val="1"/>
      </font>
    </dxf>
  </rfmt>
  <rcc rId="3057" sId="1" odxf="1" dxf="1" numFmtId="4">
    <nc r="F526">
      <v>360</v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G526" start="0" length="0">
    <dxf>
      <font>
        <i/>
        <name val="Times New Roman CYR"/>
        <family val="1"/>
      </font>
    </dxf>
  </rfmt>
  <rfmt sheetId="1" sqref="H526" start="0" length="0">
    <dxf>
      <font>
        <i/>
        <name val="Times New Roman CYR"/>
        <family val="1"/>
      </font>
    </dxf>
  </rfmt>
  <rfmt sheetId="1" sqref="I526" start="0" length="0">
    <dxf>
      <font>
        <i/>
        <name val="Times New Roman CYR"/>
        <family val="1"/>
      </font>
    </dxf>
  </rfmt>
  <rfmt sheetId="1" sqref="J526" start="0" length="0">
    <dxf>
      <font>
        <i/>
        <name val="Times New Roman CYR"/>
        <family val="1"/>
      </font>
    </dxf>
  </rfmt>
  <rfmt sheetId="1" sqref="K526" start="0" length="0">
    <dxf>
      <font>
        <i/>
        <name val="Times New Roman CYR"/>
        <family val="1"/>
      </font>
    </dxf>
  </rfmt>
  <rfmt sheetId="1" sqref="L526" start="0" length="0">
    <dxf>
      <font>
        <i/>
        <name val="Times New Roman CYR"/>
        <family val="1"/>
      </font>
    </dxf>
  </rfmt>
  <rfmt sheetId="1" sqref="M526" start="0" length="0">
    <dxf>
      <font>
        <i/>
        <name val="Times New Roman CYR"/>
        <family val="1"/>
      </font>
    </dxf>
  </rfmt>
  <rfmt sheetId="1" sqref="N526" start="0" length="0">
    <dxf>
      <font>
        <i/>
        <name val="Times New Roman CYR"/>
        <family val="1"/>
      </font>
    </dxf>
  </rfmt>
  <rfmt sheetId="1" sqref="O526" start="0" length="0">
    <dxf>
      <font>
        <i/>
        <name val="Times New Roman CYR"/>
        <family val="1"/>
      </font>
    </dxf>
  </rfmt>
  <rfmt sheetId="1" sqref="A526:XFD526" start="0" length="0">
    <dxf>
      <font>
        <i/>
        <name val="Times New Roman CYR"/>
        <family val="1"/>
      </font>
    </dxf>
  </rfmt>
  <rfmt sheetId="1" sqref="A527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527" start="0" length="0">
    <dxf>
      <font>
        <i/>
        <name val="Times New Roman"/>
        <family val="1"/>
      </font>
    </dxf>
  </rfmt>
  <rfmt sheetId="1" sqref="C527" start="0" length="0">
    <dxf>
      <font>
        <i/>
        <name val="Times New Roman"/>
        <family val="1"/>
      </font>
    </dxf>
  </rfmt>
  <rfmt sheetId="1" sqref="D527" start="0" length="0">
    <dxf>
      <font>
        <i/>
        <name val="Times New Roman"/>
        <family val="1"/>
      </font>
    </dxf>
  </rfmt>
  <rfmt sheetId="1" sqref="E527" start="0" length="0">
    <dxf>
      <font>
        <i/>
        <name val="Times New Roman"/>
        <family val="1"/>
      </font>
    </dxf>
  </rfmt>
  <rfmt sheetId="1" sqref="F52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27" start="0" length="0">
    <dxf>
      <font>
        <i/>
        <name val="Times New Roman CYR"/>
        <family val="1"/>
      </font>
    </dxf>
  </rfmt>
  <rfmt sheetId="1" sqref="H527" start="0" length="0">
    <dxf>
      <font>
        <i/>
        <name val="Times New Roman CYR"/>
        <family val="1"/>
      </font>
    </dxf>
  </rfmt>
  <rfmt sheetId="1" sqref="I527" start="0" length="0">
    <dxf>
      <font>
        <i/>
        <name val="Times New Roman CYR"/>
        <family val="1"/>
      </font>
    </dxf>
  </rfmt>
  <rfmt sheetId="1" sqref="J527" start="0" length="0">
    <dxf>
      <font>
        <i/>
        <name val="Times New Roman CYR"/>
        <family val="1"/>
      </font>
    </dxf>
  </rfmt>
  <rfmt sheetId="1" sqref="K527" start="0" length="0">
    <dxf>
      <font>
        <i/>
        <name val="Times New Roman CYR"/>
        <family val="1"/>
      </font>
    </dxf>
  </rfmt>
  <rfmt sheetId="1" sqref="L527" start="0" length="0">
    <dxf>
      <font>
        <i/>
        <name val="Times New Roman CYR"/>
        <family val="1"/>
      </font>
    </dxf>
  </rfmt>
  <rfmt sheetId="1" sqref="M527" start="0" length="0">
    <dxf>
      <font>
        <i/>
        <name val="Times New Roman CYR"/>
        <family val="1"/>
      </font>
    </dxf>
  </rfmt>
  <rfmt sheetId="1" sqref="N527" start="0" length="0">
    <dxf>
      <font>
        <i/>
        <name val="Times New Roman CYR"/>
        <family val="1"/>
      </font>
    </dxf>
  </rfmt>
  <rfmt sheetId="1" sqref="O527" start="0" length="0">
    <dxf>
      <font>
        <i/>
        <name val="Times New Roman CYR"/>
        <family val="1"/>
      </font>
    </dxf>
  </rfmt>
  <rfmt sheetId="1" sqref="A527:XFD527" start="0" length="0">
    <dxf>
      <font>
        <i/>
        <name val="Times New Roman CYR"/>
        <family val="1"/>
      </font>
    </dxf>
  </rfmt>
  <rcc rId="3058" sId="1" odxf="1" dxf="1">
    <nc r="A528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8" start="0" length="0">
    <dxf>
      <font>
        <i/>
        <name val="Times New Roman"/>
        <family val="1"/>
      </font>
    </dxf>
  </rfmt>
  <rfmt sheetId="1" sqref="C528" start="0" length="0">
    <dxf>
      <font>
        <i/>
        <name val="Times New Roman"/>
        <family val="1"/>
      </font>
    </dxf>
  </rfmt>
  <rfmt sheetId="1" sqref="D528" start="0" length="0">
    <dxf>
      <font>
        <i/>
        <name val="Times New Roman"/>
        <family val="1"/>
      </font>
    </dxf>
  </rfmt>
  <rfmt sheetId="1" sqref="E528" start="0" length="0">
    <dxf>
      <font>
        <i/>
        <name val="Times New Roman"/>
        <family val="1"/>
      </font>
    </dxf>
  </rfmt>
  <rfmt sheetId="1" sqref="F52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28" start="0" length="0">
    <dxf>
      <font>
        <i/>
        <name val="Times New Roman CYR"/>
        <family val="1"/>
      </font>
    </dxf>
  </rfmt>
  <rfmt sheetId="1" sqref="H528" start="0" length="0">
    <dxf>
      <font>
        <i/>
        <name val="Times New Roman CYR"/>
        <family val="1"/>
      </font>
    </dxf>
  </rfmt>
  <rfmt sheetId="1" sqref="I528" start="0" length="0">
    <dxf>
      <font>
        <i/>
        <name val="Times New Roman CYR"/>
        <family val="1"/>
      </font>
    </dxf>
  </rfmt>
  <rfmt sheetId="1" sqref="J528" start="0" length="0">
    <dxf>
      <font>
        <i/>
        <name val="Times New Roman CYR"/>
        <family val="1"/>
      </font>
    </dxf>
  </rfmt>
  <rfmt sheetId="1" sqref="K528" start="0" length="0">
    <dxf>
      <font>
        <i/>
        <name val="Times New Roman CYR"/>
        <family val="1"/>
      </font>
    </dxf>
  </rfmt>
  <rfmt sheetId="1" sqref="L528" start="0" length="0">
    <dxf>
      <font>
        <i/>
        <name val="Times New Roman CYR"/>
        <family val="1"/>
      </font>
    </dxf>
  </rfmt>
  <rfmt sheetId="1" sqref="M528" start="0" length="0">
    <dxf>
      <font>
        <i/>
        <name val="Times New Roman CYR"/>
        <family val="1"/>
      </font>
    </dxf>
  </rfmt>
  <rfmt sheetId="1" sqref="N528" start="0" length="0">
    <dxf>
      <font>
        <i/>
        <name val="Times New Roman CYR"/>
        <family val="1"/>
      </font>
    </dxf>
  </rfmt>
  <rfmt sheetId="1" sqref="O528" start="0" length="0">
    <dxf>
      <font>
        <i/>
        <name val="Times New Roman CYR"/>
        <family val="1"/>
      </font>
    </dxf>
  </rfmt>
  <rfmt sheetId="1" sqref="A528:XFD528" start="0" length="0">
    <dxf>
      <font>
        <i/>
        <name val="Times New Roman CYR"/>
        <family val="1"/>
      </font>
    </dxf>
  </rfmt>
  <rfmt sheetId="1" sqref="A529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529" start="0" length="0">
    <dxf>
      <fill>
        <patternFill patternType="solid">
          <bgColor theme="0"/>
        </patternFill>
      </fill>
    </dxf>
  </rfmt>
  <rfmt sheetId="1" sqref="C529" start="0" length="0">
    <dxf>
      <fill>
        <patternFill patternType="solid">
          <bgColor theme="0"/>
        </patternFill>
      </fill>
    </dxf>
  </rfmt>
  <rfmt sheetId="1" sqref="E529" start="0" length="0">
    <dxf>
      <fill>
        <patternFill patternType="solid">
          <bgColor theme="0"/>
        </patternFill>
      </fill>
    </dxf>
  </rfmt>
  <rfmt sheetId="1" sqref="F529" start="0" length="0">
    <dxf>
      <fill>
        <patternFill patternType="none">
          <bgColor indexed="65"/>
        </patternFill>
      </fill>
    </dxf>
  </rfmt>
  <rfmt sheetId="1" sqref="G529" start="0" length="0">
    <dxf>
      <font>
        <i/>
        <name val="Times New Roman CYR"/>
        <family val="1"/>
      </font>
    </dxf>
  </rfmt>
  <rfmt sheetId="1" sqref="H529" start="0" length="0">
    <dxf>
      <font>
        <i/>
        <name val="Times New Roman CYR"/>
        <family val="1"/>
      </font>
    </dxf>
  </rfmt>
  <rfmt sheetId="1" sqref="I529" start="0" length="0">
    <dxf>
      <font>
        <i/>
        <name val="Times New Roman CYR"/>
        <family val="1"/>
      </font>
    </dxf>
  </rfmt>
  <rfmt sheetId="1" sqref="J529" start="0" length="0">
    <dxf>
      <font>
        <i/>
        <name val="Times New Roman CYR"/>
        <family val="1"/>
      </font>
    </dxf>
  </rfmt>
  <rfmt sheetId="1" sqref="K529" start="0" length="0">
    <dxf>
      <font>
        <i/>
        <name val="Times New Roman CYR"/>
        <family val="1"/>
      </font>
    </dxf>
  </rfmt>
  <rfmt sheetId="1" sqref="L529" start="0" length="0">
    <dxf>
      <font>
        <i/>
        <name val="Times New Roman CYR"/>
        <family val="1"/>
      </font>
    </dxf>
  </rfmt>
  <rfmt sheetId="1" sqref="M529" start="0" length="0">
    <dxf>
      <font>
        <i/>
        <name val="Times New Roman CYR"/>
        <family val="1"/>
      </font>
    </dxf>
  </rfmt>
  <rfmt sheetId="1" sqref="N529" start="0" length="0">
    <dxf>
      <font>
        <i/>
        <name val="Times New Roman CYR"/>
        <family val="1"/>
      </font>
    </dxf>
  </rfmt>
  <rfmt sheetId="1" sqref="O529" start="0" length="0">
    <dxf>
      <font>
        <i/>
        <name val="Times New Roman CYR"/>
        <family val="1"/>
      </font>
    </dxf>
  </rfmt>
  <rfmt sheetId="1" sqref="A529:XFD529" start="0" length="0">
    <dxf>
      <font>
        <i/>
        <name val="Times New Roman CYR"/>
        <family val="1"/>
      </font>
    </dxf>
  </rfmt>
  <rcc rId="3059" sId="1">
    <nc r="B525" t="inlineStr">
      <is>
        <t>08</t>
      </is>
    </nc>
  </rcc>
  <rcc rId="3060" sId="1">
    <nc r="C525" t="inlineStr">
      <is>
        <t>01</t>
      </is>
    </nc>
  </rcc>
  <rrc rId="3061" sId="1" ref="A526:XFD526" action="deleteRow">
    <rfmt sheetId="1" xfDxf="1" sqref="A526:XFD526" start="0" length="0">
      <dxf>
        <font>
          <i/>
          <name val="Times New Roman CYR"/>
          <family val="1"/>
        </font>
        <alignment wrapText="1"/>
      </dxf>
    </rfmt>
    <rcc rId="0" sId="1" dxf="1">
      <nc r="A526" t="inlineStr">
        <is>
  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6" t="inlineStr">
        <is>
          <t>22100 00000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F526">
        <v>360</v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062" sId="1">
    <nc r="B526" t="inlineStr">
      <is>
        <t>08</t>
      </is>
    </nc>
  </rcc>
  <rcc rId="3063" sId="1">
    <nc r="C526" t="inlineStr">
      <is>
        <t>01</t>
      </is>
    </nc>
  </rcc>
  <rcc rId="3064" sId="1">
    <nc r="D526" t="inlineStr">
      <is>
        <t>22001 00000</t>
      </is>
    </nc>
  </rcc>
  <rcc rId="3065" sId="1">
    <nc r="D528" t="inlineStr">
      <is>
        <t>22001 S5060</t>
      </is>
    </nc>
  </rcc>
  <rcc rId="3066" sId="1">
    <nc r="D527" t="inlineStr">
      <is>
        <t>22001 S5060</t>
      </is>
    </nc>
  </rcc>
  <rcc rId="3067" sId="1">
    <nc r="E528" t="inlineStr">
      <is>
        <t>350</t>
      </is>
    </nc>
  </rcc>
  <rrc rId="3068" sId="1" ref="A529:XFD529" action="insertRow"/>
  <rrc rId="3069" sId="1" ref="A529:XFD529" action="insertRow"/>
  <rcc rId="3070" sId="1">
    <nc r="D529" t="inlineStr">
      <is>
        <t>22001 S5060</t>
      </is>
    </nc>
  </rcc>
  <rcc rId="3071" sId="1">
    <nc r="D530" t="inlineStr">
      <is>
        <t>22001 S5060</t>
      </is>
    </nc>
  </rcc>
  <rcc rId="3072" sId="1">
    <nc r="E529" t="inlineStr">
      <is>
        <t>612</t>
      </is>
    </nc>
  </rcc>
  <rcc rId="3073" sId="1">
    <nc r="E530" t="inlineStr">
      <is>
        <t>622</t>
      </is>
    </nc>
  </rcc>
  <rcc rId="3074" sId="1" numFmtId="4">
    <nc r="F528">
      <v>25</v>
    </nc>
  </rcc>
  <rcc rId="3075" sId="1" numFmtId="4">
    <nc r="F529">
      <v>10</v>
    </nc>
  </rcc>
  <rcc rId="3076" sId="1" numFmtId="4">
    <nc r="F530">
      <v>120</v>
    </nc>
  </rcc>
  <rcc rId="3077" sId="1" numFmtId="4">
    <nc r="F527">
      <f>F528+F529+F530</f>
    </nc>
  </rcc>
  <rcc rId="3078" sId="1" odxf="1" dxf="1">
    <nc r="A528" t="inlineStr">
      <is>
        <t>Премии и гранты</t>
      </is>
    </nc>
    <ndxf>
      <alignment vertical="top"/>
    </ndxf>
  </rcc>
  <rcc rId="3079" sId="1" odxf="1" dxf="1">
    <nc r="A52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3080" sId="1">
    <nc r="A530" t="inlineStr">
      <is>
        <t>Субсидии автономным учреждениям на иные цели</t>
      </is>
    </nc>
  </rcc>
  <rcc rId="3081" sId="1" numFmtId="4">
    <nc r="F526">
      <f>F527</f>
    </nc>
  </rcc>
  <rcc rId="3082" sId="1" numFmtId="4">
    <nc r="F525">
      <f>F526</f>
    </nc>
  </rcc>
  <rcc rId="3083" sId="1" xfDxf="1" dxf="1">
    <nc r="A52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4" sId="1">
    <nc r="B527" t="inlineStr">
      <is>
        <t>08</t>
      </is>
    </nc>
  </rcc>
  <rcc rId="3085" sId="1">
    <nc r="C527" t="inlineStr">
      <is>
        <t>01</t>
      </is>
    </nc>
  </rcc>
  <rcc rId="3086" sId="1">
    <nc r="B528" t="inlineStr">
      <is>
        <t>08</t>
      </is>
    </nc>
  </rcc>
  <rcc rId="3087" sId="1">
    <nc r="B529" t="inlineStr">
      <is>
        <t>08</t>
      </is>
    </nc>
  </rcc>
  <rcc rId="3088" sId="1">
    <nc r="B530" t="inlineStr">
      <is>
        <t>08</t>
      </is>
    </nc>
  </rcc>
  <rcc rId="3089" sId="1">
    <nc r="C530" t="inlineStr">
      <is>
        <t>01</t>
      </is>
    </nc>
  </rcc>
  <rcc rId="3090" sId="1">
    <nc r="C529" t="inlineStr">
      <is>
        <t>01</t>
      </is>
    </nc>
  </rcc>
  <rcc rId="3091" sId="1">
    <nc r="C528" t="inlineStr">
      <is>
        <t>01</t>
      </is>
    </nc>
  </rcc>
  <rcc rId="3092" sId="1">
    <oc r="F490">
      <f>F491+F531</f>
    </oc>
    <nc r="F490">
      <f>F491+F531+F525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функцион.структура!$A$4:$F$704</formula>
    <oldFormula>функцион.структура!$A$4:$F$704</oldFormula>
  </rdn>
  <rdn rId="0" localSheetId="1" customView="1" name="Z_629918FE_B1DF_464A_BF50_03D18729BC02_.wvu.FilterData" hidden="1" oldHidden="1">
    <formula>функцион.структура!$A$20:$F$711</formula>
    <oldFormula>функцион.структура!$A$20:$F$711</oldFormula>
  </rdn>
  <rcv guid="{629918FE-B1DF-464A-BF50-03D18729BC02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95" sId="1" odxf="1" dxf="1">
    <nc r="A47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B475" start="0" length="0">
    <dxf>
      <font>
        <b/>
        <name val="Times New Roman"/>
        <family val="1"/>
      </font>
    </dxf>
  </rfmt>
  <rfmt sheetId="1" sqref="C475" start="0" length="0">
    <dxf>
      <font>
        <b/>
        <name val="Times New Roman"/>
        <family val="1"/>
      </font>
    </dxf>
  </rfmt>
  <rcc rId="3096" sId="1" odxf="1" dxf="1">
    <nc r="D475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475" start="0" length="0">
    <dxf>
      <font>
        <b/>
        <name val="Times New Roman"/>
        <family val="1"/>
      </font>
    </dxf>
  </rfmt>
  <rfmt sheetId="1" sqref="F475" start="0" length="0">
    <dxf>
      <font>
        <b/>
        <name val="Times New Roman"/>
        <family val="1"/>
      </font>
    </dxf>
  </rfmt>
  <rcc rId="3097" sId="1" odxf="1" dxf="1">
    <nc r="A47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6" start="0" length="0">
    <dxf>
      <font>
        <i/>
        <name val="Times New Roman"/>
        <family val="1"/>
      </font>
    </dxf>
  </rfmt>
  <rfmt sheetId="1" sqref="C476" start="0" length="0">
    <dxf>
      <font>
        <i/>
        <name val="Times New Roman"/>
        <family val="1"/>
      </font>
    </dxf>
  </rfmt>
  <rcc rId="3098" sId="1" odxf="1" dxf="1">
    <nc r="D476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6" start="0" length="0">
    <dxf>
      <font>
        <i/>
        <name val="Times New Roman"/>
        <family val="1"/>
      </font>
    </dxf>
  </rfmt>
  <rcc rId="3099" sId="1" odxf="1" dxf="1">
    <nc r="F476">
      <f>F477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00" sId="1" odxf="1" dxf="1">
    <nc r="A477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7" start="0" length="0">
    <dxf>
      <font>
        <i/>
        <name val="Times New Roman"/>
        <family val="1"/>
      </font>
    </dxf>
  </rfmt>
  <rfmt sheetId="1" sqref="C477" start="0" length="0">
    <dxf>
      <font>
        <i/>
        <name val="Times New Roman"/>
        <family val="1"/>
      </font>
    </dxf>
  </rfmt>
  <rcc rId="3101" sId="1" odxf="1" dxf="1">
    <nc r="D477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7" start="0" length="0">
    <dxf>
      <font>
        <i/>
        <name val="Times New Roman"/>
        <family val="1"/>
      </font>
    </dxf>
  </rfmt>
  <rfmt sheetId="1" sqref="F477" start="0" length="0">
    <dxf>
      <font>
        <i/>
        <name val="Times New Roman"/>
        <family val="1"/>
      </font>
    </dxf>
  </rfmt>
  <rcc rId="3102" sId="1" odxf="1" dxf="1">
    <nc r="A478" t="inlineStr">
      <is>
        <t>Премии и гранты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fmt sheetId="1" sqref="B478" start="0" length="0">
    <dxf>
      <fill>
        <patternFill patternType="solid">
          <bgColor theme="0"/>
        </patternFill>
      </fill>
    </dxf>
  </rfmt>
  <rfmt sheetId="1" sqref="C478" start="0" length="0">
    <dxf>
      <fill>
        <patternFill patternType="solid">
          <bgColor theme="0"/>
        </patternFill>
      </fill>
    </dxf>
  </rfmt>
  <rcc rId="3103" sId="1">
    <nc r="D478" t="inlineStr">
      <is>
        <t>22001 S5060</t>
      </is>
    </nc>
  </rcc>
  <rfmt sheetId="1" sqref="E478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04" sId="1">
    <nc r="B475" t="inlineStr">
      <is>
        <t>07</t>
      </is>
    </nc>
  </rcc>
  <rcc rId="3105" sId="1">
    <nc r="C475" t="inlineStr">
      <is>
        <t>09</t>
      </is>
    </nc>
  </rcc>
  <rcc rId="3106" sId="1">
    <nc r="B476" t="inlineStr">
      <is>
        <t>07</t>
      </is>
    </nc>
  </rcc>
  <rcc rId="3107" sId="1">
    <nc r="C476" t="inlineStr">
      <is>
        <t>09</t>
      </is>
    </nc>
  </rcc>
  <rcc rId="3108" sId="1">
    <nc r="B477" t="inlineStr">
      <is>
        <t>07</t>
      </is>
    </nc>
  </rcc>
  <rcc rId="3109" sId="1">
    <nc r="C477" t="inlineStr">
      <is>
        <t>09</t>
      </is>
    </nc>
  </rcc>
  <rcc rId="3110" sId="1">
    <nc r="B478" t="inlineStr">
      <is>
        <t>07</t>
      </is>
    </nc>
  </rcc>
  <rcc rId="3111" sId="1">
    <nc r="C478" t="inlineStr">
      <is>
        <t>09</t>
      </is>
    </nc>
  </rcc>
  <rcc rId="3112" sId="1">
    <nc r="E478" t="inlineStr">
      <is>
        <t>244</t>
      </is>
    </nc>
  </rcc>
  <rcc rId="3113" sId="1" numFmtId="4">
    <nc r="F478">
      <v>529.46884</v>
    </nc>
  </rcc>
  <rfmt sheetId="1" sqref="A479" start="0" length="0">
    <dxf>
      <font>
        <i/>
        <color indexed="8"/>
        <name val="Times New Roman"/>
        <family val="1"/>
      </font>
    </dxf>
  </rfmt>
  <rcc rId="3114" sId="1" odxf="1" dxf="1">
    <nc r="B4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15" sId="1" odxf="1" dxf="1">
    <nc r="C47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9" start="0" length="0">
    <dxf>
      <font>
        <i/>
        <name val="Times New Roman"/>
        <family val="1"/>
      </font>
    </dxf>
  </rfmt>
  <rfmt sheetId="1" sqref="E479" start="0" length="0">
    <dxf>
      <font>
        <i/>
        <name val="Times New Roman"/>
        <family val="1"/>
      </font>
    </dxf>
  </rfmt>
  <rfmt sheetId="1" sqref="F479" start="0" length="0">
    <dxf>
      <font>
        <i/>
        <name val="Times New Roman"/>
        <family val="1"/>
      </font>
    </dxf>
  </rfmt>
  <rfmt sheetId="1" sqref="A480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3116" sId="1" odxf="1" dxf="1">
    <nc r="B48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17" sId="1" odxf="1" dxf="1">
    <nc r="C48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480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18" sId="1">
    <nc r="D479" t="inlineStr">
      <is>
        <t>22002 S5060</t>
      </is>
    </nc>
  </rcc>
  <rcc rId="3119" sId="1">
    <nc r="D480" t="inlineStr">
      <is>
        <t>22002 S5060</t>
      </is>
    </nc>
  </rcc>
  <rfmt sheetId="1" sqref="A481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3120" sId="1" odxf="1" dxf="1">
    <nc r="B48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21" sId="1" odxf="1" dxf="1">
    <nc r="C48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22" sId="1">
    <nc r="D481" t="inlineStr">
      <is>
        <t>22002 S5060</t>
      </is>
    </nc>
  </rcc>
  <rfmt sheetId="1" sqref="E481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23" sId="1">
    <nc r="E480" t="inlineStr">
      <is>
        <t>111</t>
      </is>
    </nc>
  </rcc>
  <rcc rId="3124" sId="1">
    <nc r="E481" t="inlineStr">
      <is>
        <t>119</t>
      </is>
    </nc>
  </rcc>
  <rcc rId="3125" sId="1">
    <nc r="F479">
      <f>F480+F481</f>
    </nc>
  </rcc>
  <rcc rId="3126" sId="1" odxf="1" dxf="1">
    <nc r="A480" t="inlineStr">
      <is>
        <t xml:space="preserve">Фонд оплаты труда учреждений </t>
      </is>
    </nc>
    <ndxf>
      <numFmt numFmtId="30" formatCode="@"/>
    </ndxf>
  </rcc>
  <rcc rId="3127" sId="1" odxf="1" dxf="1">
    <nc r="A48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3128" sId="1" ref="A482:XFD482" action="deleteRow">
    <rfmt sheetId="1" xfDxf="1" sqref="A482:XFD482" start="0" length="0">
      <dxf>
        <font>
          <name val="Times New Roman CYR"/>
          <family val="1"/>
        </font>
        <alignment wrapText="1"/>
      </dxf>
    </rfmt>
    <rfmt sheetId="1" sqref="A48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29" sId="1" xfDxf="1" dxf="1">
    <nc r="A479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30" sId="1">
    <nc r="F477">
      <f>F478</f>
    </nc>
  </rcc>
  <rcc rId="3131" sId="1">
    <nc r="F475">
      <f>F476+F479</f>
    </nc>
  </rcc>
  <rcc rId="3132" sId="1" numFmtId="4">
    <nc r="F480">
      <v>27.289680000000001</v>
    </nc>
  </rcc>
  <rcc rId="3133" sId="1" numFmtId="4">
    <nc r="F481">
      <v>8.2414799999999993</v>
    </nc>
  </rcc>
  <rcc rId="3134" sId="1">
    <oc r="F440">
      <f>F441+F482</f>
    </oc>
    <nc r="F440">
      <f>F441+F482+F475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функцион.структура!$A$4:$F$703</formula>
    <oldFormula>функцион.структура!$A$4:$F$703</oldFormula>
  </rdn>
  <rdn rId="0" localSheetId="1" customView="1" name="Z_629918FE_B1DF_464A_BF50_03D18729BC02_.wvu.FilterData" hidden="1" oldHidden="1">
    <formula>функцион.структура!$A$20:$F$710</formula>
    <oldFormula>функцион.структура!$A$20:$F$710</oldFormula>
  </rdn>
  <rcv guid="{629918FE-B1DF-464A-BF50-03D18729BC02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37" sId="1" ref="A480:XFD480" action="insertRow"/>
  <rcc rId="3138" sId="1">
    <nc r="B480" t="inlineStr">
      <is>
        <t>07</t>
      </is>
    </nc>
  </rcc>
  <rcc rId="3139" sId="1">
    <nc r="C480" t="inlineStr">
      <is>
        <t>09</t>
      </is>
    </nc>
  </rcc>
  <rcc rId="3140" sId="1">
    <nc r="D480" t="inlineStr">
      <is>
        <t>22002 S5060</t>
      </is>
    </nc>
  </rcc>
  <rcc rId="3141" sId="1">
    <oc r="D479" t="inlineStr">
      <is>
        <t>22002 S5060</t>
      </is>
    </oc>
    <nc r="D479" t="inlineStr">
      <is>
        <t>22002 00000</t>
      </is>
    </nc>
  </rcc>
  <rcc rId="3142" sId="1" xfDxf="1" dxf="1">
    <nc r="A480" t="inlineStr">
      <is>
        <t>Разработка, принятие и софинансирование муниципальных программ по сохранению и развитию бурятского языка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43" sId="1">
    <nc r="F480">
      <f>F481+F482</f>
    </nc>
  </rcc>
  <rcc rId="3144" sId="1">
    <oc r="F479">
      <f>F481+F482</f>
    </oc>
    <nc r="F479">
      <f>F480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функцион.структура!$A$4:$F$704</formula>
    <oldFormula>функцион.структура!$A$4:$F$704</oldFormula>
  </rdn>
  <rdn rId="0" localSheetId="1" customView="1" name="Z_629918FE_B1DF_464A_BF50_03D18729BC02_.wvu.FilterData" hidden="1" oldHidden="1">
    <formula>функцион.структура!$A$20:$F$711</formula>
    <oldFormula>функцион.структура!$A$20:$F$711</oldFormula>
  </rdn>
  <rcv guid="{629918FE-B1DF-464A-BF50-03D18729BC02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9" sId="1" numFmtId="4">
    <oc r="F437">
      <v>1098.5</v>
    </oc>
    <nc r="F437">
      <v>1083.47</v>
    </nc>
  </rcc>
  <rcc rId="760" sId="1" numFmtId="4">
    <oc r="F438">
      <v>331.68</v>
    </oc>
    <nc r="F438">
      <v>346.71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</rdn>
  <rdn rId="0" localSheetId="1" customView="1" name="Z_629918FE_B1DF_464A_BF50_03D18729BC02_.wvu.FilterData" hidden="1" oldHidden="1">
    <formula>функцион.структура!$A$17:$K$511</formula>
  </rdn>
  <rcv guid="{629918FE-B1DF-464A-BF50-03D18729BC02}" action="add"/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47" sId="1" numFmtId="4">
    <oc r="F376">
      <v>360</v>
    </oc>
    <nc r="F376"/>
  </rcc>
  <rcc rId="3148" sId="1" numFmtId="4">
    <oc r="F375">
      <v>360</v>
    </oc>
    <nc r="F375"/>
  </rcc>
  <rcc rId="3149" sId="1" numFmtId="4">
    <oc r="F373">
      <v>360</v>
    </oc>
    <nc r="F373"/>
  </rcc>
  <rcc rId="3150" sId="1" numFmtId="4">
    <oc r="F374">
      <v>360</v>
    </oc>
    <nc r="F374"/>
  </rcc>
  <rrc rId="3151" sId="1" ref="A373:XFD373" action="deleteRow">
    <undo index="65535" exp="ref" v="1" dr="F373" r="F340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2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3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Основное мероприятие «Проведение образовательных, культурных, спортивных и других мероприятий (национальных праздников и пр.) на двух государственных языках Республики Бурятия (в том числе на родных языках, народов 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4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22101 85060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5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22101 85060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611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3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56" sId="1">
    <oc r="F340">
      <f>F341+F373+#REF!</f>
    </oc>
    <nc r="F340">
      <f>F341+F373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7" sId="1">
    <oc r="F600">
      <f>F602</f>
    </oc>
    <nc r="F600">
      <f>F601</f>
    </nc>
  </rcc>
  <rcc rId="3158" sId="1">
    <oc r="F602">
      <f>SUM(F603:F605)</f>
    </oc>
    <nc r="F602">
      <f>SUM(F603:F605)</f>
    </nc>
  </rcc>
  <rcc rId="3159" sId="1" numFmtId="4">
    <oc r="F604">
      <v>453.14587</v>
    </oc>
    <nc r="F604">
      <v>453.78586999999999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функцион.структура!$A$4:$F$699</formula>
    <oldFormula>функцион.структура!$A$4:$F$699</oldFormula>
  </rdn>
  <rdn rId="0" localSheetId="1" customView="1" name="Z_629918FE_B1DF_464A_BF50_03D18729BC02_.wvu.FilterData" hidden="1" oldHidden="1">
    <formula>функцион.структура!$A$20:$F$706</formula>
    <oldFormula>функцион.структура!$A$20:$F$706</oldFormula>
  </rdn>
  <rcv guid="{629918FE-B1DF-464A-BF50-03D18729BC02}" action="add"/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2" sId="1" numFmtId="4">
    <oc r="F51">
      <v>1619.3532700000001</v>
    </oc>
    <nc r="F51">
      <v>1916.3532700000001</v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>
    <oc r="A17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 год</t>
      </is>
    </oc>
    <nc r="A17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 год</t>
      </is>
    </nc>
  </rcc>
  <rrc rId="3165" sId="1" ref="A24:XFD24" action="deleteRow">
    <undo index="65535" exp="ref" v="1" dr="F24" r="F23" sId="1"/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">
        <f>SUM(F25:F26)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6" sId="1" ref="A24:XFD24" action="deleteRow"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42.344000000000001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7" sId="1" ref="A24:XFD24" action="deleteRow"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12.787100000000001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8" sId="1">
    <oc r="F23">
      <f>F24+#REF!</f>
    </oc>
    <nc r="F23">
      <f>F24</f>
    </nc>
  </rcc>
  <rcc rId="3169" sId="1" numFmtId="4">
    <oc r="F26">
      <v>2479.9039499999999</v>
    </oc>
    <nc r="F26">
      <v>0</v>
    </nc>
  </rcc>
  <rcc rId="3170" sId="1" numFmtId="4">
    <oc r="F27">
      <v>648.14616000000001</v>
    </oc>
    <nc r="F27">
      <v>0</v>
    </nc>
  </rcc>
  <rrc rId="3171" sId="1" ref="A29:XFD29" action="deleteRow">
    <undo index="65535" exp="ref" v="1" dr="F29" r="F28" sId="1"/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2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3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01002 S2870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4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">
        <v>11.9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75" sId="1">
    <oc r="F28">
      <f>F29+#REF!</f>
    </oc>
    <nc r="F28">
      <f>F29</f>
    </nc>
  </rcc>
  <rcc rId="3176" sId="1" numFmtId="4">
    <oc r="F34">
      <v>49.006599999999999</v>
    </oc>
    <nc r="F34"/>
  </rcc>
  <rrc rId="3177" sId="1" ref="A33:XFD33" action="deleteRow">
    <undo index="65535" exp="ref" v="1" dr="F33" r="F29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">
        <f>F34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8" sId="1" ref="A33:XFD33" action="deleteRow"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79" sId="1">
    <oc r="F29">
      <f>F33+F30+#REF!</f>
    </oc>
    <nc r="F29">
      <f>F33+F30</f>
    </nc>
  </rcc>
  <rcc rId="3180" sId="1" numFmtId="4">
    <oc r="F35">
      <v>1210.0350900000001</v>
    </oc>
    <nc r="F35">
      <v>0</v>
    </nc>
  </rcc>
  <rcc rId="3181" sId="1" numFmtId="4">
    <oc r="F36">
      <v>142.84289000000001</v>
    </oc>
    <nc r="F36">
      <v>0</v>
    </nc>
  </rcc>
  <rcc rId="3182" sId="1" numFmtId="4">
    <oc r="F37">
      <v>361.32650999999998</v>
    </oc>
    <nc r="F37">
      <v>0</v>
    </nc>
  </rcc>
  <rcc rId="3183" sId="1" numFmtId="4">
    <oc r="F38">
      <v>34.28</v>
    </oc>
    <nc r="F38">
      <v>0</v>
    </nc>
  </rcc>
  <rcc rId="3184" sId="1" numFmtId="4">
    <oc r="F39">
      <v>251.22425000000001</v>
    </oc>
    <nc r="F39">
      <v>0</v>
    </nc>
  </rcc>
  <rcc rId="3185" sId="1" numFmtId="4">
    <oc r="F40">
      <v>4.9259999999999998E-2</v>
    </oc>
    <nc r="F40">
      <v>0</v>
    </nc>
  </rcc>
  <rrc rId="3186" sId="1" ref="A40:XFD40" action="deleteRow">
    <undo index="65535" exp="area" dr="F35:F40" r="F34" sId="1"/>
    <rfmt sheetId="1" xfDxf="1" sqref="A40:XFD40" start="0" length="0">
      <dxf>
        <font>
          <name val="Times New Roman CYR"/>
          <family val="1"/>
        </font>
        <alignment wrapText="1"/>
      </dxf>
    </rfmt>
    <rcc rId="0" sId="1" dxf="1">
      <nc r="A40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87" sId="1" numFmtId="4">
    <oc r="F41">
      <v>1916.3532700000001</v>
    </oc>
    <nc r="F41"/>
  </rcc>
  <rcc rId="3188" sId="1" numFmtId="4">
    <oc r="F42">
      <v>148.77574999999999</v>
    </oc>
    <nc r="F42"/>
  </rcc>
  <rcc rId="3189" sId="1" numFmtId="4">
    <oc r="F43">
      <v>517.20406000000003</v>
    </oc>
    <nc r="F43"/>
  </rcc>
  <rcv guid="{629918FE-B1DF-464A-BF50-03D18729BC02}" action="delete"/>
  <rdn rId="0" localSheetId="1" customView="1" name="Z_629918FE_B1DF_464A_BF50_03D18729BC02_.wvu.PrintArea" hidden="1" oldHidden="1">
    <formula>функцион.структура!$A$1:$F$689</formula>
    <oldFormula>функцион.структура!$A$4:$F$689</oldFormula>
  </rdn>
  <rdn rId="0" localSheetId="1" customView="1" name="Z_629918FE_B1DF_464A_BF50_03D18729BC02_.wvu.FilterData" hidden="1" oldHidden="1">
    <formula>функцион.структура!$A$20:$F$696</formula>
    <oldFormula>функцион.структура!$A$20:$F$696</oldFormula>
  </rdn>
  <rcv guid="{629918FE-B1DF-464A-BF50-03D18729BC02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92" sId="1" ref="A46:XFD46" action="deleteRow">
    <undo index="65535" exp="ref" v="1" dr="F46" r="F45" sId="1"/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">
        <f>SUM(F47:F48)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3" sId="1" ref="A46:XFD46" action="deleteRow"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283.09449999999998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4" sId="1" ref="A46:XFD46" action="deleteRow"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71.507000000000005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5" sId="1" ref="A56:XFD56" action="deleteRow">
    <undo index="65535" exp="ref" v="1" dr="F56" r="F45" sId="1"/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6">
        <f>F57+F58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6" sId="1" ref="A56:XFD56" action="deleteRow"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3070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7" sId="1" ref="A56:XFD56" action="deleteRow"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930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98" sId="1">
    <oc r="F45">
      <f>F46+#REF!+#REF!</f>
    </oc>
    <nc r="F45">
      <f>F46</f>
    </nc>
  </rcc>
  <rcc rId="3199" sId="1" numFmtId="4">
    <oc r="F48">
      <v>7937.0794299999998</v>
    </oc>
    <nc r="F48"/>
  </rcc>
  <rcc rId="3200" sId="1" numFmtId="4">
    <oc r="F49">
      <v>2232.1145999999999</v>
    </oc>
    <nc r="F49"/>
  </rcc>
  <rcc rId="3201" sId="1" numFmtId="4">
    <oc r="F50">
      <v>28.08</v>
    </oc>
    <nc r="F50"/>
  </rcc>
  <rcc rId="3202" sId="1" numFmtId="4">
    <oc r="F51">
      <v>12.551069999999999</v>
    </oc>
    <nc r="F51"/>
  </rcc>
  <rcc rId="3203" sId="1" numFmtId="4">
    <oc r="F52">
      <v>379.20337999999998</v>
    </oc>
    <nc r="F52"/>
  </rcc>
  <rcc rId="3204" sId="1" numFmtId="4">
    <oc r="F53">
      <v>183.36277000000001</v>
    </oc>
    <nc r="F53"/>
  </rcc>
  <rcc rId="3205" sId="1" numFmtId="4">
    <oc r="F54">
      <v>75</v>
    </oc>
    <nc r="F54"/>
  </rcc>
  <rcc rId="3206" sId="1" numFmtId="4">
    <oc r="F55">
      <v>127.322</v>
    </oc>
    <nc r="F55"/>
  </rcc>
  <rcc rId="3207" sId="1" numFmtId="4">
    <oc r="F59">
      <v>423.62</v>
    </oc>
    <nc r="F59">
      <v>22.1</v>
    </nc>
  </rcc>
  <rrc rId="3208" sId="1" ref="A61:XFD61" action="deleteRow">
    <undo index="65535" exp="ref" v="1" dr="F61" r="F60" sId="1"/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6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09" sId="1" ref="A61:XFD61" action="deleteRow"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0" sId="1" ref="A61:XFD61" action="deleteRow">
    <rfmt sheetId="1" xfDxf="1" sqref="A61:XFD61" start="0" length="0">
      <dxf>
        <font>
          <i/>
          <name val="Times New Roman CYR"/>
          <family val="1"/>
        </font>
        <alignment wrapText="1"/>
      </dxf>
    </rfmt>
    <rcc rId="0" sId="1" dxf="1">
      <nc r="A61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61" start="0" length="0">
      <dxf>
        <numFmt numFmtId="165" formatCode="0.00000"/>
      </dxf>
    </rfmt>
  </rrc>
  <rrc rId="3211" sId="1" ref="A61:XFD61" action="deleteRow"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1">
        <v>21.9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2" sId="1" ref="A75:XFD75" action="deleteRow">
    <undo index="65535" exp="ref" v="1" dr="F75" r="F70" sId="1"/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5">
        <f>F76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3" sId="1" ref="A75:XFD75" action="deleteRow"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5">
        <v>44.205100000000002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14" sId="1">
    <oc r="F70">
      <f>F71+#REF!</f>
    </oc>
    <nc r="F70">
      <f>F71</f>
    </nc>
  </rcc>
  <rcc rId="3215" sId="1">
    <oc r="F60">
      <f>F61+F70+#REF!</f>
    </oc>
    <nc r="F60">
      <f>F61+F70</f>
    </nc>
  </rcc>
  <rcc rId="3216" sId="1" numFmtId="4">
    <oc r="F65">
      <v>5296.35</v>
    </oc>
    <nc r="F65"/>
  </rcc>
  <rcc rId="3217" sId="1" numFmtId="4">
    <oc r="F66">
      <v>82.3</v>
    </oc>
    <nc r="F66"/>
  </rcc>
  <rcc rId="3218" sId="1" numFmtId="4">
    <oc r="F67">
      <v>1537.4</v>
    </oc>
    <nc r="F67"/>
  </rcc>
  <rcc rId="3219" sId="1" numFmtId="4">
    <oc r="F68">
      <v>1188</v>
    </oc>
    <nc r="F68"/>
  </rcc>
  <rcc rId="3220" sId="1" numFmtId="4">
    <oc r="F69">
      <v>592.04246999999998</v>
    </oc>
    <nc r="F69"/>
  </rcc>
  <rcc rId="3221" sId="1" numFmtId="4">
    <oc r="F74">
      <v>527</v>
    </oc>
    <nc r="F74"/>
  </rcc>
  <rrc rId="3222" sId="1" ref="A74:XFD74" action="deleteRow">
    <undo index="65535" exp="area" dr="F72:F74" r="F71" sId="1"/>
    <rfmt sheetId="1" xfDxf="1" sqref="A74:XFD74" start="0" length="0">
      <dxf>
        <font>
          <i/>
          <name val="Times New Roman CYR"/>
          <family val="1"/>
        </font>
        <alignment wrapText="1"/>
      </dxf>
    </rfmt>
    <rcc rId="0" sId="1" dxf="1">
      <nc r="A74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99900 41000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23" sId="1" numFmtId="4">
    <oc r="F76">
      <v>2810.2</v>
    </oc>
    <nc r="F76">
      <v>0</v>
    </nc>
  </rcc>
  <rrc rId="3224" sId="1" ref="A74:XFD74" action="deleteRow">
    <undo index="65535" exp="ref" v="1" dr="F74" r="F21" sId="1"/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4">
        <f>F75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5" sId="1" ref="A74:XFD74" action="deleteRow"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4">
        <f>F75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6" sId="1" ref="A74:XFD74" action="deleteRow"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27" sId="1">
    <oc r="F21">
      <f>F22+F28+F44+F56+F60+F74+F78+#REF!</f>
    </oc>
    <nc r="F21">
      <f>F22+F28+F44+F56+F60+F74+F78</f>
    </nc>
  </rcc>
  <rcc rId="3228" sId="1" numFmtId="4">
    <oc r="F72">
      <v>3447.10707</v>
    </oc>
    <nc r="F72">
      <v>1795</v>
    </nc>
  </rcc>
  <rcc rId="3229" sId="1" numFmtId="4">
    <oc r="F73">
      <v>1079.4268</v>
    </oc>
    <nc r="F73">
      <v>541.9</v>
    </nc>
  </rcc>
  <rcc rId="3230" sId="1">
    <oc r="F85">
      <v>218.4</v>
    </oc>
    <nc r="F85">
      <f>208</f>
    </nc>
  </rcc>
  <rcc rId="3231" sId="1" numFmtId="4">
    <oc r="F77">
      <v>50</v>
    </oc>
    <nc r="F77"/>
  </rcc>
  <rcc rId="3232" sId="1" numFmtId="4">
    <oc r="F86">
      <v>21.85</v>
    </oc>
    <nc r="F86"/>
  </rcc>
  <rrc rId="3233" sId="1" ref="A86:XFD86" action="deleteRow">
    <undo index="65535" exp="ref" v="1" dr="F86" r="F84" sId="1"/>
    <rfmt sheetId="1" xfDxf="1" sqref="A86:XFD86" start="0" length="0">
      <dxf>
        <font>
          <name val="Times New Roman CYR"/>
          <family val="1"/>
        </font>
        <alignment wrapText="1"/>
      </dxf>
    </rfmt>
    <rcc rId="0" sId="1" dxf="1">
      <nc r="A8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34" sId="1">
    <oc r="F84">
      <f>F85+#REF!</f>
    </oc>
    <nc r="F84">
      <f>F85</f>
    </nc>
  </rcc>
  <rcc rId="3235" sId="1" numFmtId="4">
    <oc r="F82">
      <v>50</v>
    </oc>
    <nc r="F82"/>
  </rcc>
  <rcc rId="3236" sId="1" numFmtId="4">
    <oc r="F88">
      <v>23</v>
    </oc>
    <nc r="F88"/>
  </rcc>
  <rcc rId="3237" sId="1" numFmtId="4">
    <oc r="F93">
      <v>4784.8696200000004</v>
    </oc>
    <nc r="F93"/>
  </rcc>
  <rcc rId="3238" sId="1" numFmtId="4">
    <oc r="F94">
      <v>12.2</v>
    </oc>
    <nc r="F94"/>
  </rcc>
  <rcc rId="3239" sId="1" numFmtId="4">
    <oc r="F95">
      <v>1424.6268399999999</v>
    </oc>
    <nc r="F95"/>
  </rcc>
  <rcc rId="3240" sId="1" numFmtId="4">
    <oc r="F96">
      <v>1.2540000000000001E-2</v>
    </oc>
    <nc r="F96"/>
  </rcc>
  <rrc rId="3241" sId="1" ref="A96:XFD96" action="deleteRow">
    <undo index="65535" exp="area" dr="F93:F96" r="F92" sId="1"/>
    <rfmt sheetId="1" xfDxf="1" sqref="A96:XFD96" start="0" length="0">
      <dxf>
        <font>
          <i/>
          <name val="Times New Roman CYR"/>
          <family val="1"/>
        </font>
        <alignment wrapText="1"/>
      </dxf>
    </rfmt>
    <rcc rId="0" sId="1" dxf="1">
      <nc r="A96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6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6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6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42" sId="1" numFmtId="4">
    <oc r="F97">
      <v>185.18799999999999</v>
    </oc>
    <nc r="F97"/>
  </rcc>
  <rcc rId="3243" sId="1" numFmtId="4">
    <oc r="F98">
      <v>45.033279999999998</v>
    </oc>
    <nc r="F98"/>
  </rcc>
  <rcc rId="3244" sId="1" numFmtId="4">
    <oc r="F101">
      <v>53.364960000000004</v>
    </oc>
    <nc r="F101"/>
  </rcc>
  <rcc rId="3245" sId="1" numFmtId="4">
    <oc r="F102">
      <v>191.58799999999999</v>
    </oc>
    <nc r="F102"/>
  </rcc>
  <rrc rId="3246" sId="1" ref="A101:XFD101" action="deleteRow">
    <undo index="0" exp="ref" v="1" dr="F101" r="F100" sId="1"/>
    <rfmt sheetId="1" xfDxf="1" sqref="A101:XFD101" start="0" length="0">
      <dxf>
        <font>
          <name val="Times New Roman CYR"/>
          <family val="1"/>
        </font>
        <alignment wrapText="1"/>
      </dxf>
    </rfmt>
    <rcc rId="0" sId="1" dxf="1">
      <nc r="A101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1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1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47" sId="1">
    <oc r="F100">
      <f>#REF!+F101</f>
    </oc>
    <nc r="F100">
      <f>F101</f>
    </nc>
  </rcc>
  <rcc rId="3248" sId="1" numFmtId="4">
    <oc r="F105">
      <v>80</v>
    </oc>
    <nc r="F105"/>
  </rcc>
  <rcc rId="3249" sId="1" numFmtId="4">
    <oc r="F106">
      <v>10</v>
    </oc>
    <nc r="F106"/>
  </rcc>
  <rrc rId="3250" sId="1" ref="A106:XFD106" action="deleteRow">
    <undo index="65535" exp="ref" v="1" dr="F106" r="F104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05001 82900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51" sId="1">
    <oc r="F104">
      <f>F105+#REF!</f>
    </oc>
    <nc r="F104">
      <f>F105</f>
    </nc>
  </rcc>
  <rcc rId="3252" sId="1" numFmtId="4">
    <oc r="F109">
      <v>180</v>
    </oc>
    <nc r="F109">
      <v>0</v>
    </nc>
  </rcc>
  <rcc rId="3253" sId="1" numFmtId="4">
    <oc r="F113">
      <v>880</v>
    </oc>
    <nc r="F113">
      <v>0</v>
    </nc>
  </rcc>
  <rcc rId="3254" sId="1" numFmtId="4">
    <oc r="F116">
      <v>1159.6907100000001</v>
    </oc>
    <nc r="F116">
      <v>237.3</v>
    </nc>
  </rcc>
  <rcc rId="3255" sId="1" numFmtId="4">
    <oc r="F117">
      <v>435.38441</v>
    </oc>
    <nc r="F117">
      <v>71.599999999999994</v>
    </nc>
  </rcc>
  <rcc rId="3256" sId="1" numFmtId="4">
    <oc r="F119">
      <v>125.652</v>
    </oc>
    <nc r="F119"/>
  </rcc>
  <rcc rId="3257" sId="1" numFmtId="4">
    <oc r="F120">
      <v>30.953399999999998</v>
    </oc>
    <nc r="F120"/>
  </rcc>
  <rcc rId="3258" sId="1" numFmtId="4">
    <oc r="F121">
      <v>27.562999999999999</v>
    </oc>
    <nc r="F121"/>
  </rcc>
  <rcc rId="3259" sId="1" numFmtId="4">
    <oc r="F122">
      <v>8.3240999999999996</v>
    </oc>
    <nc r="F122"/>
  </rcc>
  <rcc rId="3260" sId="1" numFmtId="4">
    <oc r="F123">
      <v>32.523400000000002</v>
    </oc>
    <nc r="F123"/>
  </rcc>
  <rrc rId="3261" sId="1" ref="A118:XFD118" action="deleteRow">
    <undo index="65535" exp="ref" v="1" dr="F118" r="F114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8">
        <f>SUM(F119:F123)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62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3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4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5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6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67" sId="1" numFmtId="4">
    <oc r="F123">
      <v>45.5</v>
    </oc>
    <nc r="F123">
      <v>30</v>
    </nc>
  </rcc>
  <rcc rId="3268" sId="1" numFmtId="4">
    <oc r="F124">
      <v>65.7</v>
    </oc>
    <nc r="F124">
      <v>61.5</v>
    </nc>
  </rcc>
  <rcc rId="3269" sId="1" numFmtId="4">
    <oc r="F127">
      <v>3.82</v>
    </oc>
    <nc r="F127"/>
  </rcc>
  <rrc rId="327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71" sId="1" numFmtId="4">
    <oc r="F126">
      <v>534.51804000000004</v>
    </oc>
    <nc r="F126">
      <v>455.6</v>
    </nc>
  </rcc>
  <rcc rId="3272" sId="1" numFmtId="4">
    <oc r="F127">
      <v>152.72196</v>
    </oc>
    <nc r="F127">
      <v>137.6</v>
    </nc>
  </rcc>
  <rcc rId="3273" sId="1" numFmtId="4">
    <oc r="F128">
      <v>31.1</v>
    </oc>
    <nc r="F128">
      <f>25+10</f>
    </nc>
  </rcc>
  <rcc rId="3274" sId="1" numFmtId="4">
    <oc r="F129">
      <v>41.44</v>
    </oc>
    <nc r="F129">
      <f>2.4+50+50</f>
    </nc>
  </rcc>
  <rcc rId="3275" sId="1" numFmtId="4">
    <oc r="F131">
      <v>345.69</v>
    </oc>
    <nc r="F131">
      <v>329.3</v>
    </nc>
  </rcc>
  <rcc rId="3276" sId="1" numFmtId="4">
    <oc r="F132">
      <v>104.4</v>
    </oc>
    <nc r="F132">
      <v>99.39</v>
    </nc>
  </rcc>
  <rcc rId="3277" sId="1" numFmtId="4">
    <oc r="F136">
      <v>214.36411000000001</v>
    </oc>
    <nc r="F136"/>
  </rcc>
  <rcc rId="3278" sId="1" numFmtId="4">
    <oc r="F138">
      <v>7286.3403500000004</v>
    </oc>
    <nc r="F138"/>
  </rcc>
  <rcc rId="3279" sId="1" numFmtId="4">
    <oc r="F141">
      <v>10829.497380000001</v>
    </oc>
    <nc r="F141"/>
  </rcc>
  <rcc rId="3280" sId="1" numFmtId="4">
    <oc r="F142">
      <v>382.61676999999997</v>
    </oc>
    <nc r="F142"/>
  </rcc>
  <rcc rId="3281" sId="1" numFmtId="4">
    <oc r="F143">
      <v>3227.3319900000001</v>
    </oc>
    <nc r="F143"/>
  </rcc>
  <rcc rId="3282" sId="1" numFmtId="4">
    <oc r="F144">
      <v>853.40869999999995</v>
    </oc>
    <nc r="F144"/>
  </rcc>
  <rcc rId="3283" sId="1" numFmtId="4">
    <oc r="F145">
      <v>6708.0866999999998</v>
    </oc>
    <nc r="F145"/>
  </rcc>
  <rcc rId="3284" sId="1" numFmtId="4">
    <oc r="F146">
      <v>2022.5</v>
    </oc>
    <nc r="F146"/>
  </rcc>
  <rcc rId="3285" sId="1" numFmtId="4">
    <oc r="F147">
      <v>7.0381299999999998</v>
    </oc>
    <nc r="F147"/>
  </rcc>
  <rcc rId="3286" sId="1" numFmtId="4">
    <oc r="F148">
      <v>15</v>
    </oc>
    <nc r="F148"/>
  </rcc>
  <rcc rId="3287" sId="1" numFmtId="4">
    <oc r="F149">
      <v>37.5</v>
    </oc>
    <nc r="F149"/>
  </rcc>
  <rcc rId="3288" sId="1" numFmtId="4">
    <oc r="F150">
      <v>58.5</v>
    </oc>
    <nc r="F150"/>
  </rcc>
  <rrc rId="3289" sId="1" ref="A150:XFD150" action="deleteRow">
    <undo index="65535" exp="area" dr="F141:F150" r="F140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Уплата иных платежей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90" sId="1" numFmtId="4">
    <oc r="F151">
      <v>490</v>
    </oc>
    <nc r="F151"/>
  </rcc>
  <rrc rId="3291" sId="1" ref="A150:XFD150" action="deleteRow">
    <undo index="65535" exp="ref" v="1" dr="F150" r="F114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0">
        <f>F151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2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выплаты населению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93" sId="1" numFmtId="4">
    <oc r="F151">
      <v>8991.5393000000004</v>
    </oc>
    <nc r="F151">
      <v>0</v>
    </nc>
  </rcc>
  <rrc rId="3294" sId="1" ref="A152:XFD152" action="deleteRow">
    <undo index="65535" exp="ref" v="1" dr="F152" r="F114" sId="1"/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2">
        <f>F153+F154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5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3070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6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930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97" sId="1">
    <oc r="F114">
      <f>F115+F120+F125+F131+F138+F136+F140+F154+F156+F118+F152+#REF!</f>
    </oc>
    <nc r="F114">
      <f>F115+F120+F125+F130+F137+F135+F139+F150+F118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функцион.структура!$A$1:$F$656</formula>
    <oldFormula>функцион.структура!$A$1:$F$656</oldFormula>
  </rdn>
  <rdn rId="0" localSheetId="1" customView="1" name="Z_629918FE_B1DF_464A_BF50_03D18729BC02_.wvu.FilterData" hidden="1" oldHidden="1">
    <formula>функцион.структура!$A$20:$F$663</formula>
    <oldFormula>функцион.структура!$A$20:$F$663</oldFormula>
  </rdn>
  <rcv guid="{629918FE-B1DF-464A-BF50-03D18729BC02}" action="add"/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00" sId="1" numFmtId="4">
    <oc r="F157">
      <v>200</v>
    </oc>
    <nc r="F157"/>
  </rcc>
  <rcc rId="3301" sId="1" numFmtId="4">
    <oc r="F158">
      <v>1300</v>
    </oc>
    <nc r="F158"/>
  </rcc>
  <rrc rId="3302" sId="1" ref="A157:XFD157" action="deleteRow">
    <undo index="0" exp="ref" v="1" dr="F157" r="F156" sId="1"/>
    <rfmt sheetId="1" xfDxf="1" sqref="A157:XFD157" start="0" length="0">
      <dxf>
        <font>
          <name val="Times New Roman CYR"/>
          <family val="1"/>
        </font>
        <alignment wrapText="1"/>
      </dxf>
    </rfmt>
    <rcc rId="0" sId="1" dxf="1">
      <nc r="A15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03" sId="1">
    <oc r="F156">
      <f>#REF!+F157</f>
    </oc>
    <nc r="F156">
      <f>F157</f>
    </nc>
  </rcc>
  <rcc rId="3304" sId="1" numFmtId="4">
    <oc r="F163">
      <v>18</v>
    </oc>
    <nc r="F163">
      <v>0</v>
    </nc>
  </rcc>
  <rcc rId="3305" sId="1" numFmtId="4">
    <oc r="F167">
      <v>50</v>
    </oc>
    <nc r="F167">
      <v>0</v>
    </nc>
  </rcc>
  <rrc rId="3306" sId="1" ref="A169:XFD169" action="deleteRow">
    <undo index="65535" exp="ref" v="1" dr="F169" r="F168" sId="1"/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SUM(F170:F171)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07" sId="1" ref="A169:XFD169" action="deleteRow"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 xml:space="preserve">Фонд оплаты труда 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2.9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08" sId="1" ref="A169:XFD169" action="deleteRow"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0.87580000000000002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09" sId="1">
    <oc r="F168">
      <f>F169+F171+F174+F176+F179+F181+F184+#REF!</f>
    </oc>
    <nc r="F168">
      <f>F169+F171+F174+F176+F179+F181+F184</f>
    </nc>
  </rcc>
  <rcc rId="3310" sId="1" numFmtId="4">
    <oc r="F175">
      <v>146.73500000000001</v>
    </oc>
    <nc r="F175">
      <v>146.69999999999999</v>
    </nc>
  </rcc>
  <rcc rId="3311" sId="1" numFmtId="4">
    <oc r="F180">
      <v>2354.8000000000002</v>
    </oc>
    <nc r="F180">
      <v>4214.1000000000004</v>
    </nc>
  </rcc>
  <rcc rId="3312" sId="1" numFmtId="4">
    <oc r="F182">
      <v>16.905000000000001</v>
    </oc>
    <nc r="F182">
      <v>16.899999999999999</v>
    </nc>
  </rcc>
  <rcc rId="3313" sId="1" numFmtId="4">
    <oc r="F183">
      <v>5.1050000000000004</v>
    </oc>
    <nc r="F183">
      <v>5.0999999999999996</v>
    </nc>
  </rcc>
  <rcc rId="3314" sId="1" numFmtId="4">
    <oc r="F177">
      <v>27.1</v>
    </oc>
    <nc r="F177">
      <v>48.54</v>
    </nc>
  </rcc>
  <rcc rId="3315" sId="1" numFmtId="4">
    <oc r="F178">
      <v>8.1999999999999993</v>
    </oc>
    <nc r="F178">
      <v>14.66</v>
    </nc>
  </rcc>
  <rcc rId="3316" sId="1" numFmtId="4">
    <oc r="F186">
      <v>1162.6501599999999</v>
    </oc>
    <nc r="F186"/>
  </rcc>
  <rcc rId="3317" sId="1" numFmtId="4">
    <oc r="F187">
      <v>58.06</v>
    </oc>
    <nc r="F187"/>
  </rcc>
  <rcc rId="3318" sId="1" numFmtId="4">
    <oc r="F188">
      <v>346.66773999999998</v>
    </oc>
    <nc r="F188"/>
  </rcc>
  <rcc rId="3319" sId="1" numFmtId="4">
    <oc r="F189">
      <v>57</v>
    </oc>
    <nc r="F189"/>
  </rcc>
  <rcc rId="3320" sId="1" numFmtId="4">
    <oc r="F190">
      <v>72.403499999999994</v>
    </oc>
    <nc r="F190"/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1" sId="1" numFmtId="4">
    <oc r="F195">
      <v>3355.39914</v>
    </oc>
    <nc r="F195"/>
  </rcc>
  <rcc rId="3322" sId="1" numFmtId="4">
    <oc r="F199">
      <v>180.32</v>
    </oc>
    <nc r="F199"/>
  </rcc>
  <rcc rId="3323" sId="1" numFmtId="4">
    <oc r="F200">
      <v>386</v>
    </oc>
    <nc r="F200"/>
  </rcc>
  <rrc rId="3324" sId="1" ref="A191:XFD191" action="deleteRow">
    <undo index="65535" exp="ref" v="1" dr="F191" r="F158" sId="1"/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5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6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Разработка проектно-сметной документации Дэбэнской защитной дамбы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S2080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S2080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29" sId="1" ref="A191:XFD191" action="deleteRow">
    <undo index="65535" exp="ref" v="1" dr="F191" r="F158" sId="1"/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0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1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На возмещение части недополученных доходов юридическим лицам, индивидуальным предпринимателям и участникам договора простого товарищества при перевозке пассажиров и багажа на муниципальных маршрутах автомобильного транспорта в условиях внешнего санкционного давления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SUM(F192:F193)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2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33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811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34" sId="1">
    <oc r="F158">
      <f>F159+F191+F205+#REF!+#REF!</f>
    </oc>
    <nc r="F158">
      <f>F159+F191+F205</f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5" sId="1" odxf="1" dxf="1">
    <oc r="A194" t="inlineStr">
      <is>
        <t>Содержание автомобильных дорог общего пользования местного значения, в том числе на обеспечение безопасности дорожного движения и аварийно-восстановительные работы</t>
      </is>
    </oc>
    <nc r="A194" t="inlineStr">
      <is>
        <t>Развитие транспортной инфраструктуры на сельских территориях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3336" sId="1" odxf="1" dxf="1">
    <oc r="A195" t="inlineStr">
      <is>
        <t>Иные межбюджетные трансферты</t>
      </is>
    </oc>
    <nc r="A19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37" sId="1" odxf="1" dxf="1">
    <oc r="A196" t="inlineStr">
      <is>
        <t>Субсидии автономным учреждениям на иные цели</t>
      </is>
    </oc>
    <nc r="A19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left"/>
    </ndxf>
  </rcc>
  <rcc rId="3338" sId="1" odxf="1" dxf="1">
    <oc r="A197" t="inlineStr">
      <is>
        <t>Содержание автомобильных дорог общего пользования местного значения</t>
      </is>
    </oc>
    <nc r="A197" t="inlineStr">
      <is>
        <t>Субсидии автономным учреждениям на иные цели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3339" sId="1" odxf="1" dxf="1">
    <oc r="A198" t="inlineStr">
      <is>
        <t>Прочие закупки товаров, работ и услуг для государственных (муниципальных) нужд</t>
      </is>
    </oc>
    <nc r="A198" t="inlineStr">
      <is>
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3340" sId="1" odxf="1" dxf="1">
    <oc r="A199" t="inlineStr">
      <is>
        <t>Иные межбюджетные трансферты</t>
      </is>
    </oc>
    <nc r="A199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41" sId="1" odxf="1" dxf="1">
    <oc r="A20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00" t="inlineStr">
      <is>
        <t>Содержание автомобильных дорог общего пользования местного значения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3342" sId="1" odxf="1" dxf="1">
    <oc r="A201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20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3343" sId="1">
    <oc r="F192">
      <f>F193</f>
    </oc>
    <nc r="F192">
      <f>F193</f>
    </nc>
  </rcc>
  <rcc rId="3344" sId="1">
    <oc r="F193">
      <f>F197+F201+F194+F203</f>
    </oc>
    <nc r="F193">
      <f>F200+F196+F194+F198</f>
    </nc>
  </rcc>
  <rcc rId="3345" sId="1">
    <oc r="D194" t="inlineStr">
      <is>
        <t>11001 743Д0</t>
      </is>
    </oc>
    <nc r="D194" t="inlineStr">
      <is>
        <t>11001 R3720</t>
      </is>
    </nc>
  </rcc>
  <rcc rId="3346" sId="1" odxf="1" dxf="1">
    <oc r="F194">
      <f>SUM(F195:F196)</f>
    </oc>
    <nc r="F194">
      <f>F195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347" sId="1">
    <oc r="D195" t="inlineStr">
      <is>
        <t>11001 743Д0</t>
      </is>
    </oc>
    <nc r="D195" t="inlineStr">
      <is>
        <t>11001 R3720</t>
      </is>
    </nc>
  </rcc>
  <rcc rId="3348" sId="1">
    <oc r="E195" t="inlineStr">
      <is>
        <t>540</t>
      </is>
    </oc>
    <nc r="E195" t="inlineStr">
      <is>
        <t>622</t>
      </is>
    </nc>
  </rcc>
  <rcc rId="3349" sId="1" numFmtId="4">
    <oc r="F195">
      <v>8283.01</v>
    </oc>
    <nc r="F195">
      <f>88690.2</f>
    </nc>
  </rcc>
  <rfmt sheetId="1" sqref="B19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C19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3350" sId="1" odxf="1" dxf="1">
    <oc r="D196" t="inlineStr">
      <is>
        <t>11001 743Д0</t>
      </is>
    </oc>
    <nc r="D196" t="inlineStr">
      <is>
        <t>11001 S21Д0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1" sId="1" odxf="1" dxf="1">
    <oc r="E196" t="inlineStr">
      <is>
        <t>622</t>
      </is>
    </oc>
    <nc r="E196"/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2" sId="1" odxf="1" dxf="1" numFmtId="4">
    <oc r="F196">
      <v>6716.99</v>
    </oc>
    <nc r="F196">
      <f>F197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9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C19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3353" sId="1" odxf="1" dxf="1">
    <oc r="D197" t="inlineStr">
      <is>
        <t>11001 82200</t>
      </is>
    </oc>
    <nc r="D197" t="inlineStr">
      <is>
        <t>11001 S21Д0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3354" sId="1" odxf="1" dxf="1">
    <nc r="E197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355" sId="1" odxf="1" dxf="1">
    <oc r="F197">
      <f>SUM(F198:F200)</f>
    </oc>
    <nc r="F197">
      <f>100713.9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B19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C19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3356" sId="1" odxf="1" dxf="1">
    <oc r="D198" t="inlineStr">
      <is>
        <t>11001 82200</t>
      </is>
    </oc>
    <nc r="D198" t="inlineStr">
      <is>
        <t>11001 S23ДО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7" sId="1" odxf="1" dxf="1">
    <oc r="E198" t="inlineStr">
      <is>
        <t>244</t>
      </is>
    </oc>
    <nc r="E198"/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58" sId="1" odxf="1" dxf="1" numFmtId="4">
    <oc r="F198">
      <v>535</v>
    </oc>
    <nc r="F198">
      <f>F199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B199" start="0" length="0">
    <dxf>
      <fill>
        <patternFill patternType="solid">
          <bgColor indexed="9"/>
        </patternFill>
      </fill>
    </dxf>
  </rfmt>
  <rfmt sheetId="1" sqref="C199" start="0" length="0">
    <dxf>
      <fill>
        <patternFill patternType="solid">
          <bgColor indexed="9"/>
        </patternFill>
      </fill>
    </dxf>
  </rfmt>
  <rcc rId="3359" sId="1" odxf="1" dxf="1">
    <oc r="D199" t="inlineStr">
      <is>
        <t>11001 82200</t>
      </is>
    </oc>
    <nc r="D199" t="inlineStr">
      <is>
        <t>11001 S23ДО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3360" sId="1" odxf="1" dxf="1">
    <oc r="E199" t="inlineStr">
      <is>
        <t>540</t>
      </is>
    </oc>
    <nc r="E199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61" sId="1" odxf="1" dxf="1" numFmtId="4">
    <oc r="F199">
      <v>2000</v>
    </oc>
    <nc r="F199">
      <f>374.3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B200" start="0" length="0">
    <dxf>
      <font>
        <i/>
        <name val="Times New Roman"/>
        <family val="1"/>
      </font>
    </dxf>
  </rfmt>
  <rfmt sheetId="1" sqref="C200" start="0" length="0">
    <dxf>
      <font>
        <i/>
        <name val="Times New Roman"/>
        <family val="1"/>
      </font>
    </dxf>
  </rfmt>
  <rfmt sheetId="1" sqref="D200" start="0" length="0">
    <dxf>
      <font>
        <i/>
        <name val="Times New Roman"/>
        <family val="1"/>
      </font>
    </dxf>
  </rfmt>
  <rcc rId="3362" sId="1" odxf="1" dxf="1">
    <oc r="E200" t="inlineStr">
      <is>
        <t>621</t>
      </is>
    </oc>
    <nc r="E20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00" start="0" length="0">
    <dxf>
      <font>
        <i/>
        <name val="Times New Roman"/>
        <family val="1"/>
      </font>
    </dxf>
  </rfmt>
  <rfmt sheetId="1" sqref="B20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C20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3363" sId="1" odxf="1" dxf="1">
    <oc r="D201" t="inlineStr">
      <is>
        <t>11001 S21Д0</t>
      </is>
    </oc>
    <nc r="D201" t="inlineStr">
      <is>
        <t>11001 82200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364" sId="1" odxf="1" dxf="1">
    <nc r="E201" t="inlineStr">
      <is>
        <t>621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365" sId="1" odxf="1" dxf="1">
    <oc r="F201">
      <f>F202</f>
    </oc>
    <nc r="F201">
      <f>15795.13-590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6" sId="1">
    <oc r="A203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203"/>
  </rcc>
  <rcc rId="3367" sId="1">
    <oc r="B203" t="inlineStr">
      <is>
        <t>04</t>
      </is>
    </oc>
    <nc r="B203"/>
  </rcc>
  <rcc rId="3368" sId="1">
    <oc r="C203" t="inlineStr">
      <is>
        <t>09</t>
      </is>
    </oc>
    <nc r="C203"/>
  </rcc>
  <rcc rId="3369" sId="1">
    <oc r="D203" t="inlineStr">
      <is>
        <t>11001 S23ДО</t>
      </is>
    </oc>
    <nc r="D203"/>
  </rcc>
  <rcc rId="3370" sId="1">
    <oc r="F203">
      <f>F204</f>
    </oc>
    <nc r="F203"/>
  </rcc>
  <rcc rId="3371" sId="1">
    <oc r="A20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04"/>
  </rcc>
  <rcc rId="3372" sId="1">
    <oc r="B204" t="inlineStr">
      <is>
        <t>04</t>
      </is>
    </oc>
    <nc r="B204"/>
  </rcc>
  <rcc rId="3373" sId="1">
    <oc r="C204" t="inlineStr">
      <is>
        <t>09</t>
      </is>
    </oc>
    <nc r="C204"/>
  </rcc>
  <rcc rId="3374" sId="1">
    <oc r="D204" t="inlineStr">
      <is>
        <t>11001 S23ДО</t>
      </is>
    </oc>
    <nc r="D204"/>
  </rcc>
  <rcc rId="3375" sId="1">
    <oc r="E204" t="inlineStr">
      <is>
        <t>621</t>
      </is>
    </oc>
    <nc r="E204"/>
  </rcc>
  <rcc rId="3376" sId="1" numFmtId="4">
    <oc r="F204">
      <v>4374.4498000000003</v>
    </oc>
    <nc r="F204"/>
  </rcc>
  <rrc rId="3377" sId="1" ref="A201:XFD201" action="insertRow"/>
  <rrc rId="3378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>
        <f>713.9+14.57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9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0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201" start="0" length="0">
    <dxf>
      <font>
        <i val="0"/>
        <name val="Times New Roman"/>
        <family val="1"/>
      </font>
      <alignment horizontal="left"/>
    </dxf>
  </rfmt>
  <rcc rId="3381" sId="1" odxf="1" dxf="1">
    <nc r="B20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82" sId="1" odxf="1" dxf="1">
    <nc r="C20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83" sId="1" odxf="1" dxf="1">
    <nc r="D201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1" start="0" length="0">
    <dxf>
      <font>
        <i val="0"/>
        <name val="Times New Roman"/>
        <family val="1"/>
      </font>
    </dxf>
  </rfmt>
  <rfmt sheetId="1" sqref="F201" start="0" length="0">
    <dxf>
      <font>
        <i val="0"/>
        <name val="Times New Roman"/>
        <family val="1"/>
      </font>
    </dxf>
  </rfmt>
  <rcc rId="3384" sId="1">
    <nc r="E201" t="inlineStr">
      <is>
        <t>247</t>
      </is>
    </nc>
  </rcc>
  <rcc rId="3385" sId="1" numFmtId="4">
    <nc r="F201">
      <v>590</v>
    </nc>
  </rcc>
  <rcc rId="3386" sId="1">
    <oc r="F200">
      <v>21291.150249999999</v>
    </oc>
    <nc r="F200">
      <f>SUM(F201:F202)</f>
    </nc>
  </rcc>
  <rcc rId="3387" sId="1" odxf="1" dxf="1">
    <nc r="A20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88" sId="1" numFmtId="4">
    <oc r="F207">
      <v>215</v>
    </oc>
    <nc r="F207"/>
  </rcc>
  <rcc rId="3389" sId="1">
    <oc r="F210">
      <f>2950</f>
    </oc>
    <nc r="F210"/>
  </rcc>
  <rrc rId="3390" sId="1" ref="A204:XFD204" action="deleteRow">
    <undo index="65535" exp="ref" v="1" dr="F204" r="F203" sId="1"/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name val="Times New Roman"/>
          <family val="1"/>
        </font>
      </ndxf>
    </rcc>
    <rcc rId="0" sId="1" dxf="1">
      <nc r="B20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F208+F205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1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Основное мероприятие "Организация и проведение мероприятий в сфере туризма на муниципальном уровне"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2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S2E80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3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S2E80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94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Основное мероприятие "Содействие в развитии системы территориального общественного самоуправления"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5" sId="1" ref="A204:XFD204" action="deleteRow">
    <rfmt sheetId="1" xfDxf="1" sqref="A204:XFD204" start="0" length="0">
      <dxf>
        <font>
          <b/>
          <i/>
          <name val="Times New Roman CYR"/>
          <family val="1"/>
        </font>
        <alignment wrapText="1"/>
      </dxf>
    </rfmt>
    <rcc rId="0" sId="1" dxf="1">
      <nc r="A204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97" sId="1">
    <oc r="F203">
      <f>F213+F226+F204+#REF!</f>
    </oc>
    <nc r="F203">
      <f>F213+F226+F204</f>
    </nc>
  </rcc>
  <rcc rId="3398" sId="1" numFmtId="4">
    <oc r="F208">
      <v>1200</v>
    </oc>
    <nc r="F208"/>
  </rcc>
  <rcc rId="3399" sId="1" numFmtId="4">
    <oc r="F210">
      <v>1263.5899999999999</v>
    </oc>
    <nc r="F210">
      <f>367.6</f>
    </nc>
  </rcc>
  <rcc rId="3400" sId="1">
    <oc r="F212">
      <f>200+50</f>
    </oc>
    <nc r="F212">
      <f>200</f>
    </nc>
  </rcc>
  <rcc rId="3401" sId="1" numFmtId="4">
    <oc r="F217">
      <v>30</v>
    </oc>
    <nc r="F217"/>
  </rcc>
  <rcc rId="3402" sId="1" numFmtId="4">
    <oc r="F221">
      <v>630</v>
    </oc>
    <nc r="F221">
      <f>400</f>
    </nc>
  </rcc>
  <rcc rId="3403" sId="1">
    <oc r="F225">
      <f>181</f>
    </oc>
    <nc r="F225"/>
  </rcc>
  <rcc rId="3404" sId="1" numFmtId="4">
    <oc r="F233">
      <v>404031.42080000002</v>
    </oc>
    <nc r="F233"/>
  </rcc>
  <rcc rId="3405" sId="1" numFmtId="4">
    <oc r="F235">
      <v>7420.9852799999999</v>
    </oc>
    <nc r="F235"/>
  </rcc>
  <rrc rId="3406" sId="1" ref="A230:XFD230" action="deleteRow">
    <undo index="0" exp="ref" v="1" dr="F230" r="F229" sId="1"/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Жилищное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3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F233+F231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9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10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1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12" sId="1">
    <oc r="F229">
      <f>#REF!+F230+F243</f>
    </oc>
    <nc r="F229">
      <f>F230+F243</f>
    </nc>
  </rcc>
  <rcc rId="3413" sId="1">
    <oc r="F234">
      <f>692.16+105+43.87+66.04+22.5-0.3</f>
    </oc>
    <nc r="F234"/>
  </rcc>
  <rcc rId="3414" sId="1">
    <oc r="F236">
      <f>9677.7+1075.3</f>
    </oc>
    <nc r="F236"/>
  </rcc>
  <rrc rId="3415" sId="1" ref="A235:XFD235" action="deleteRow">
    <undo index="0" exp="ref" v="1" dr="F235" r="F232" sId="1"/>
    <rfmt sheetId="1" xfDxf="1" sqref="A235:XFD235" start="0" length="0">
      <dxf>
        <font>
          <i/>
          <name val="Times New Roman CYR"/>
          <family val="1"/>
        </font>
        <alignment wrapText="1"/>
      </dxf>
    </rfmt>
    <rcc rId="0" sId="1" dxf="1">
      <nc r="A235" t="inlineStr">
        <is>
          <t>На модернизацию объектов водоснабжения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5">
        <f>F236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6" sId="1" ref="A235:XFD235" action="deleteRow">
    <rfmt sheetId="1" xfDxf="1" sqref="A235:XFD235" start="0" length="0">
      <dxf>
        <font>
          <name val="Times New Roman CYR"/>
          <family val="1"/>
        </font>
        <alignment wrapText="1"/>
      </dxf>
    </rfmt>
    <rcc rId="0" sId="1" dxf="1">
      <nc r="A23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17" sId="1">
    <oc r="F232">
      <f>#REF!+F233</f>
    </oc>
    <nc r="F232">
      <f>F233</f>
    </nc>
  </rcc>
  <rcc rId="3418" sId="1" numFmtId="4">
    <oc r="F237">
      <v>150.30000000000001</v>
    </oc>
    <nc r="F237"/>
  </rcc>
  <rcc rId="3419" sId="1" numFmtId="4">
    <oc r="F238">
      <v>2134.8000000000002</v>
    </oc>
    <nc r="F238"/>
  </rcc>
  <rrc rId="3420" sId="1" ref="A238:XFD238" action="deleteRow">
    <undo index="65535" exp="area" dr="F237:F238" r="F236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 numFmtId="4">
    <oc r="F239">
      <v>3163.6898900000001</v>
    </oc>
    <nc r="F239"/>
  </rcc>
  <rrc rId="3422" sId="1" ref="A238:XFD238" action="deleteRow">
    <undo index="65535" exp="ref" v="1" dr="F238" r="F235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S2980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3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S2980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4" sId="1">
    <oc r="F235">
      <f>F236+#REF!</f>
    </oc>
    <nc r="F235">
      <f>F236</f>
    </nc>
  </rcc>
  <rcc rId="3425" sId="1" numFmtId="4">
    <oc r="F242">
      <v>14478.09729</v>
    </oc>
    <nc r="F242">
      <f>14180+283.6</f>
    </nc>
  </rcc>
  <rcc rId="3426" sId="1" numFmtId="4">
    <oc r="F245">
      <v>52270</v>
    </oc>
    <nc r="F245"/>
  </rcc>
  <rcc rId="3427" sId="1" numFmtId="4">
    <oc r="F246">
      <v>52270</v>
    </oc>
    <nc r="F246"/>
  </rcc>
  <rcc rId="3428" sId="1" numFmtId="4">
    <oc r="F248">
      <v>528</v>
    </oc>
    <nc r="F248"/>
  </rcc>
  <rcc rId="3429" sId="1" numFmtId="4">
    <oc r="F249">
      <v>528</v>
    </oc>
    <nc r="F249"/>
  </rcc>
  <rrc rId="3430" sId="1" ref="A243:XFD243" action="deleteRow">
    <undo index="65535" exp="ref" v="1" dr="F243" r="F238" sId="1"/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F244+F247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1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Реализация мероприятий планов социального развития центров экономического роста субъектов Российской Федерации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SUM(F244:F245)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2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3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4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Реализация мероприятий планов социального развития центров экономического роста субъектов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SUM(F244:F245)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5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6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7" sId="1">
    <oc r="F238">
      <f>F239+#REF!</f>
    </oc>
    <nc r="F238">
      <f>F239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8" sId="1" odxf="1" dxf="1" numFmtId="4">
    <oc r="F249">
      <v>125717.6</v>
    </oc>
    <nc r="F249">
      <v>124184.7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39" sId="1" odxf="1" dxf="1" numFmtId="4">
    <oc r="F251">
      <v>187.5</v>
    </oc>
    <nc r="F251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0" sId="1" numFmtId="4">
    <oc r="F253">
      <v>35036.650099999999</v>
    </oc>
    <nc r="F253"/>
  </rcc>
  <rcc rId="3441" sId="1" numFmtId="4">
    <oc r="F255">
      <v>75119.600000000006</v>
    </oc>
    <nc r="F255"/>
  </rcc>
  <rrc rId="3442" sId="1" ref="A254:XFD254" action="deleteRow">
    <undo index="65535" exp="ref" v="1" dr="F254" r="F247" sId="1"/>
    <rfmt sheetId="1" xfDxf="1" sqref="A254:XFD254" start="0" length="0">
      <dxf>
        <font>
          <i/>
          <name val="Times New Roman CYR"/>
          <family val="1"/>
        </font>
        <alignment wrapText="1"/>
      </dxf>
    </rfmt>
    <rcc rId="0" sId="1" dxf="1">
      <nc r="A254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4">
        <f>F255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43" sId="1" ref="A254:XFD254" action="deleteRow">
    <rfmt sheetId="1" xfDxf="1" sqref="A254:XFD254" start="0" length="0">
      <dxf>
        <font>
          <name val="Times New Roman CYR"/>
          <family val="1"/>
        </font>
        <alignment wrapText="1"/>
      </dxf>
    </rfmt>
    <rcc rId="0" sId="1" dxf="1">
      <nc r="A25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44" sId="1">
    <oc r="F247">
      <f>F248+F252+#REF!+F250</f>
    </oc>
    <nc r="F247">
      <f>F248+F252+F250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5380" sId="1" odxf="1">
    <oc r="F3" t="inlineStr">
      <is>
        <t>от ____ января 2023  № ____</t>
      </is>
    </oc>
    <nc r="F3" t="inlineStr">
      <is>
        <t>от 23 января 2023  № 236</t>
      </is>
    </nc>
    <odxf/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5" sId="1" odxf="1" dxf="1" numFmtId="4">
    <oc r="F259">
      <v>31113.8</v>
    </oc>
    <nc r="F259">
      <v>31012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6" sId="1" odxf="1" dxf="1" numFmtId="4">
    <oc r="F261">
      <v>244059.9</v>
    </oc>
    <nc r="F261">
      <v>253456.1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7" sId="1" odxf="1" dxf="1" numFmtId="4">
    <oc r="F263">
      <v>5908.7</v>
    </oc>
    <nc r="F263">
      <f>5813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8" sId="1" numFmtId="4">
    <oc r="F267">
      <v>69866.206600000005</v>
    </oc>
    <nc r="F267"/>
  </rcc>
  <rcc rId="3449" sId="1" numFmtId="4">
    <oc r="F268">
      <v>13169.105519999999</v>
    </oc>
    <nc r="F268"/>
  </rcc>
  <rcc rId="3450" sId="1" numFmtId="4">
    <oc r="F265">
      <v>576.6</v>
    </oc>
    <nc r="F265"/>
  </rcc>
  <rcc rId="3451" sId="1" odxf="1" dxf="1">
    <oc r="F270">
      <f>30351+303.51</f>
    </oc>
    <nc r="F270">
      <f>29257.6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52" sId="1" odxf="1" dxf="1" numFmtId="4">
    <oc r="F272">
      <v>103985.74778999999</v>
    </oc>
    <nc r="F272">
      <f>105982.8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3" sId="1" odxf="1" dxf="1" numFmtId="4">
    <oc r="F274">
      <v>17941.14</v>
    </oc>
    <nc r="F274">
      <f>12321.9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4" sId="1" odxf="1" dxf="1" numFmtId="4">
    <oc r="F276">
      <v>181.429</v>
    </oc>
    <nc r="F276">
      <f>482.5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5" sId="1" numFmtId="4">
    <oc r="F279">
      <v>255.2</v>
    </oc>
    <nc r="F279"/>
  </rcc>
  <rcc rId="3456" sId="1" numFmtId="4">
    <oc r="F282">
      <v>93717.243319999994</v>
    </oc>
    <nc r="F282"/>
  </rcc>
  <rcc rId="3457" sId="1" numFmtId="4">
    <oc r="F284">
      <f>6294.54568-118.74154</f>
    </oc>
    <nc r="F284">
      <v>8280</v>
    </nc>
  </rcc>
  <rrc rId="3458" sId="1" ref="A281:XFD281" action="deleteRow">
    <undo index="65535" exp="ref" v="1" dr="F281" r="F280" sId="1"/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1">
        <f>F282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59" sId="1" ref="A281:XFD281" action="deleteRow"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0" sId="1" numFmtId="4">
    <oc r="F284">
      <v>3333.33</v>
    </oc>
    <nc r="F284"/>
  </rcc>
  <rrc rId="3461" sId="1" ref="A283:XFD283" action="deleteRow">
    <undo index="65535" exp="ref" v="1" dr="F283" r="F280" sId="1"/>
    <rfmt sheetId="1" xfDxf="1" sqref="A283:XFD283" start="0" length="0">
      <dxf>
        <font>
          <i/>
          <name val="Times New Roman CYR"/>
          <family val="1"/>
        </font>
        <alignment wrapText="1"/>
      </dxf>
    </rfmt>
    <rcc rId="0" sId="1" dxf="1">
      <nc r="A283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102E2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3">
        <f>F284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2" sId="1" ref="A283:XFD283" action="deleteRow">
    <rfmt sheetId="1" xfDxf="1" sqref="A283:XFD283" start="0" length="0">
      <dxf>
        <font>
          <i/>
          <name val="Times New Roman CYR"/>
          <family val="1"/>
        </font>
        <alignment wrapText="1"/>
      </dxf>
    </rfmt>
    <rcc rId="0" sId="1" dxf="1">
      <nc r="A28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3" sId="1">
    <oc r="F280">
      <f>F281+#REF!+F283</f>
    </oc>
    <nc r="F280">
      <f>F281</f>
    </nc>
  </rcc>
  <rcc rId="3464" sId="1" numFmtId="4">
    <oc r="F285">
      <v>938</v>
    </oc>
    <nc r="F285"/>
  </rcc>
  <rcc rId="3465" sId="1" numFmtId="4">
    <oc r="F287">
      <v>5</v>
    </oc>
    <nc r="F287"/>
  </rcc>
  <rrc rId="3466" sId="1" ref="A286:XFD286" action="deleteRow">
    <undo index="65535" exp="ref" v="1" dr="F286" r="F283" sId="1"/>
    <rfmt sheetId="1" xfDxf="1" sqref="A286:XFD286" start="0" length="0">
      <dxf>
        <font>
          <i/>
          <name val="Times New Roman CYR"/>
          <family val="1"/>
        </font>
        <alignment wrapText="1"/>
      </dxf>
    </rfmt>
    <rcc rId="0" sId="1" dxf="1">
      <nc r="A286" t="inlineStr">
        <is>
          <t xml:space="preserve">Резервные фонды местных администраций
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6">
        <f>F287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7" sId="1" ref="A286:XFD286" action="deleteRow">
    <rfmt sheetId="1" xfDxf="1" sqref="A286:XFD286" start="0" length="0">
      <dxf>
        <font>
          <i/>
          <name val="Times New Roman CYR"/>
          <family val="1"/>
        </font>
        <alignment wrapText="1"/>
      </dxf>
    </rfmt>
    <rcc rId="0" sId="1" dxf="1">
      <nc r="A28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99900 86000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8" sId="1">
    <oc r="F283">
      <f>F284+#REF!</f>
    </oc>
    <nc r="F283">
      <f>F284</f>
    </nc>
  </rcc>
  <rcc rId="3469" sId="1" numFmtId="4">
    <oc r="F291">
      <v>7109.9059999999999</v>
    </oc>
    <nc r="F291"/>
  </rcc>
  <rcc rId="3470" sId="1" numFmtId="4">
    <oc r="F295">
      <v>2100</v>
    </oc>
    <nc r="F295"/>
  </rcc>
  <rrc rId="3471" sId="1" ref="A294:XFD294" action="deleteRow">
    <undo index="65535" exp="ref" v="1" dr="F294" r="F289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08301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4">
        <f>F295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72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08301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73" sId="1">
    <oc r="F289">
      <f>F290+F292+#REF!</f>
    </oc>
    <nc r="F289">
      <f>F290+F292</f>
    </nc>
  </rcc>
  <rcc rId="3474" sId="1" numFmtId="4">
    <oc r="F298">
      <v>8941.2999999999993</v>
    </oc>
    <nc r="F298"/>
  </rcc>
  <rcc rId="3475" sId="1" numFmtId="4">
    <oc r="F299">
      <v>16320.67</v>
    </oc>
    <nc r="F299"/>
  </rcc>
  <rcc rId="3476" sId="1" numFmtId="4">
    <oc r="F304">
      <v>1577.9</v>
    </oc>
    <nc r="F304"/>
  </rcc>
  <rcc rId="3477" sId="1" numFmtId="4">
    <oc r="F305">
      <v>2296.9</v>
    </oc>
    <nc r="F305"/>
  </rcc>
  <rrc rId="3478" sId="1" ref="A303:XFD303" action="deleteRow">
    <undo index="65535" exp="ref" v="1" dr="F303" r="F296" sId="1"/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3">
        <f>SUM(F304:F305)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79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80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1" sId="1" numFmtId="4">
    <oc r="F304">
      <v>2198.6999999999998</v>
    </oc>
    <nc r="F304"/>
  </rcc>
  <rcc rId="3482" sId="1">
    <oc r="F305">
      <f>8800+170</f>
    </oc>
    <nc r="F305"/>
  </rcc>
  <rrc rId="3483" sId="1" ref="A303:XFD303" action="deleteRow">
    <undo index="65535" exp="ref" v="1" dr="F303" r="F296" sId="1"/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3">
        <f>SUM(F304:F305)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85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96">
      <f>F297+F300+#REF!+#REF!</f>
    </oc>
    <nc r="F296">
      <f>F297+F300</f>
    </nc>
  </rcc>
  <rcc rId="3487" sId="1" numFmtId="4">
    <oc r="F306">
      <v>105.6</v>
    </oc>
    <nc r="F306"/>
  </rcc>
  <rcc rId="3488" sId="1" odxf="1" dxf="1" numFmtId="4">
    <oc r="F301">
      <v>9312.7999999999993</v>
    </oc>
    <nc r="F301">
      <f>10159.152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89" sId="1" odxf="1" dxf="1" numFmtId="4">
    <oc r="F302">
      <v>18738.599999999999</v>
    </oc>
    <nc r="F302">
      <f>32170.648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90" sId="1" odxf="1" dxf="1">
    <oc r="F312">
      <v>585.74900000000002</v>
    </oc>
    <nc r="F312">
      <f>386</f>
    </nc>
    <ndxf>
      <fill>
        <patternFill patternType="solid">
          <bgColor theme="0"/>
        </patternFill>
      </fill>
    </ndxf>
  </rcc>
  <rcc rId="3491" sId="1" numFmtId="4">
    <oc r="F322">
      <v>1403.046</v>
    </oc>
    <nc r="F322"/>
  </rcc>
  <rcc rId="3492" sId="1" numFmtId="4">
    <oc r="F328">
      <v>1986.53712</v>
    </oc>
    <nc r="F328"/>
  </rcc>
  <rcc rId="3493" sId="1" odxf="1" dxf="1" numFmtId="4">
    <oc r="F327">
      <v>3359.96288</v>
    </oc>
    <nc r="F327">
      <f>5352.5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3494" sId="1" numFmtId="4">
    <oc r="F331">
      <v>1175.2650000000001</v>
    </oc>
    <nc r="F331"/>
  </rcc>
  <rcc rId="3495" sId="1" odxf="1" dxf="1" numFmtId="4">
    <oc r="F330">
      <v>4108.0379400000002</v>
    </oc>
    <nc r="F330">
      <v>5578</v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3496" sId="1" odxf="1" dxf="1" numFmtId="4">
    <oc r="F333">
      <v>61.597000000000001</v>
    </oc>
    <nc r="F333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7" sId="1" odxf="1" dxf="1" numFmtId="4">
    <oc r="F334">
      <v>18.603000000000002</v>
    </oc>
    <nc r="F334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8" sId="1" odxf="1" dxf="1" numFmtId="4">
    <oc r="F340">
      <v>60.860999999999997</v>
    </oc>
    <nc r="F340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9" sId="1" odxf="1" dxf="1" numFmtId="4">
    <oc r="F341">
      <v>18.38897</v>
    </oc>
    <nc r="F341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500" sId="1" numFmtId="4">
    <oc r="F345">
      <v>88.6</v>
    </oc>
    <nc r="F345">
      <v>87.2</v>
    </nc>
  </rcc>
  <rcc rId="3501" sId="1" numFmtId="4">
    <oc r="F347">
      <v>647.84</v>
    </oc>
    <nc r="F347"/>
  </rcc>
  <rcc rId="3502" sId="1" numFmtId="4">
    <oc r="F348">
      <v>195.66</v>
    </oc>
    <nc r="F348"/>
  </rcc>
  <rcc rId="3503" sId="1" numFmtId="4">
    <oc r="F350">
      <v>5523.7922699999999</v>
    </oc>
    <nc r="F350"/>
  </rcc>
  <rcc rId="3504" sId="1" numFmtId="4">
    <oc r="F351">
      <v>2480.8740299999999</v>
    </oc>
    <nc r="F351"/>
  </rcc>
  <rcc rId="3505" sId="1" numFmtId="4">
    <oc r="F352">
      <v>830.68</v>
    </oc>
    <nc r="F352"/>
  </rcc>
  <rcc rId="3506" sId="1" numFmtId="4">
    <oc r="F353">
      <v>4181.18048</v>
    </oc>
    <nc r="F353"/>
  </rcc>
  <rcc rId="3507" sId="1" numFmtId="4">
    <oc r="F354">
      <v>1049.6600000000001</v>
    </oc>
    <nc r="F354"/>
  </rcc>
  <rcc rId="3508" sId="1" numFmtId="4">
    <oc r="F355">
      <v>27.72</v>
    </oc>
    <nc r="F355"/>
  </rcc>
  <rcc rId="3509" sId="1" numFmtId="4">
    <oc r="F356">
      <v>37.79</v>
    </oc>
    <nc r="F356"/>
  </rcc>
  <rcc rId="3510" sId="1" numFmtId="4">
    <oc r="F358">
      <v>11648.441629999999</v>
    </oc>
    <nc r="F358"/>
  </rcc>
  <rcc rId="3511" sId="1" numFmtId="4">
    <oc r="F359">
      <v>2821.75837</v>
    </oc>
    <nc r="F359"/>
  </rcc>
  <rcc rId="3512" sId="1" numFmtId="4">
    <oc r="F361">
      <v>8000</v>
    </oc>
    <nc r="F361"/>
  </rcc>
  <rcc rId="3513" sId="1" numFmtId="4">
    <oc r="F362">
      <v>2400</v>
    </oc>
    <nc r="F362"/>
  </rcc>
  <rrc rId="3514" sId="1" ref="A357:XFD357" action="deleteRow">
    <undo index="65535" exp="ref" v="1" dr="F357" r="F343" sId="1"/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7">
        <f>F358+F359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6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7" sId="1" ref="A357:XFD357" action="deleteRow">
    <undo index="65535" exp="ref" v="1" dr="F357" r="F343" sId="1"/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7">
        <f>F358+F359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8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9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0" sId="1">
    <oc r="F343">
      <f>F346+F349+F344+#REF!+#REF!</f>
    </oc>
    <nc r="F343">
      <f>F346+F349+F344</f>
    </nc>
  </rcc>
  <rcc rId="3521" sId="1" numFmtId="4">
    <oc r="F360">
      <v>200</v>
    </oc>
    <nc r="F360"/>
  </rcc>
  <rcc rId="3522" sId="1" numFmtId="4">
    <oc r="F363">
      <v>98</v>
    </oc>
    <nc r="F363"/>
  </rcc>
</revisions>
</file>

<file path=xl/revisions/revisionLog193.xml><?xml version="1.0" encoding="utf-8"?>
<revisions xmlns="http://schemas.openxmlformats.org/spreadsheetml/2006/main" xmlns:r="http://schemas.openxmlformats.org/officeDocument/2006/relationships">
  <rcc rId="3163" sId="1" odxf="1">
    <oc r="F3" t="inlineStr">
      <is>
        <t>от "__" ____ 2022  №___</t>
      </is>
    </oc>
    <nc r="F3" t="inlineStr">
      <is>
        <t>от "02" ноября 2022  № 210</t>
      </is>
    </nc>
    <odxf/>
  </rcc>
</revisions>
</file>

<file path=xl/revisions/revisionLog19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3" sId="1">
    <oc r="D463" t="inlineStr">
      <is>
        <t>091P5 51390</t>
      </is>
    </oc>
    <nc r="D463" t="inlineStr">
      <is>
        <t>094P5 51390</t>
      </is>
    </nc>
  </rcc>
  <rfmt sheetId="1" sqref="F461" start="0" length="2147483647">
    <dxf>
      <font>
        <b/>
      </font>
    </dxf>
  </rfmt>
  <rcc rId="764" sId="1">
    <oc r="F451">
      <f>F452+F457</f>
    </oc>
    <nc r="F451">
      <f>F452+F457+F461</f>
    </nc>
  </rcc>
</revisions>
</file>

<file path=xl/revisions/revisionLog19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23" sId="1" numFmtId="4">
    <oc r="F367">
      <v>529.46884</v>
    </oc>
    <nc r="F367"/>
  </rcc>
  <rcc rId="3524" sId="1" numFmtId="4">
    <oc r="F370">
      <v>27.289680000000001</v>
    </oc>
    <nc r="F370"/>
  </rcc>
  <rcc rId="3525" sId="1" numFmtId="4">
    <oc r="F371">
      <v>8.2414799999999993</v>
    </oc>
    <nc r="F371"/>
  </rcc>
  <rrc rId="3526" sId="1" ref="A372:XFD372" action="deleteRow">
    <undo index="65535" exp="ref" v="1" dr="F372" r="F335" sId="1"/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Непрограммные расходы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F373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7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SUM(F373:F376)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8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5.8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9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1.7516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0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21.462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1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6.4819000000000004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32" sId="1">
    <oc r="F335">
      <f>F336+#REF!+F364</f>
    </oc>
    <nc r="F335">
      <f>F336+F364</f>
    </nc>
  </rcc>
  <rcc rId="3533" sId="1" numFmtId="4">
    <oc r="F378">
      <v>5894.4889999999996</v>
    </oc>
    <nc r="F378"/>
  </rcc>
  <rcc rId="3534" sId="1" numFmtId="4">
    <oc r="F380">
      <v>284.52300000000002</v>
    </oc>
    <nc r="F380"/>
  </rcc>
  <rcc rId="3535" sId="1" numFmtId="4">
    <oc r="F382">
      <v>5690.0039999999999</v>
    </oc>
    <nc r="F382"/>
  </rcc>
  <rcc rId="3536" sId="1" numFmtId="4">
    <oc r="F386">
      <v>7168.3102699999999</v>
    </oc>
    <nc r="F386"/>
  </rcc>
  <rcc rId="3537" sId="1" numFmtId="4">
    <oc r="F387">
      <v>289.06675999999999</v>
    </oc>
    <nc r="F387"/>
  </rcc>
  <rcc rId="3538" sId="1" numFmtId="4">
    <oc r="F389">
      <v>758.94853999999998</v>
    </oc>
    <nc r="F389"/>
  </rcc>
  <rcc rId="3539" sId="1" numFmtId="4">
    <oc r="F391">
      <v>9459.768</v>
    </oc>
    <nc r="F391"/>
  </rcc>
  <rcc rId="3540" sId="1" numFmtId="4">
    <oc r="F393">
      <v>2500</v>
    </oc>
    <nc r="F393"/>
  </rcc>
  <rrc rId="3541" sId="1" ref="A392:XFD392" action="deleteRow">
    <undo index="65535" exp="ref" v="1" dr="F392" r="F384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08201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2">
        <f>F393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2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08201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3" sId="1">
    <oc r="F384">
      <f>F390+F385+F388+#REF!</f>
    </oc>
    <nc r="F384">
      <f>F390+F385+F388</f>
    </nc>
  </rcc>
  <rcc rId="3544" sId="1" numFmtId="4">
    <oc r="F397">
      <v>27</v>
    </oc>
    <nc r="F397"/>
  </rcc>
  <rcc rId="3545" sId="1" numFmtId="4">
    <oc r="F398">
      <v>699.1</v>
    </oc>
    <nc r="F398"/>
  </rcc>
  <rcc rId="3546" sId="1" numFmtId="4">
    <oc r="F399">
      <v>12</v>
    </oc>
    <nc r="F399"/>
  </rcc>
  <rcc rId="3547" sId="1" numFmtId="4">
    <oc r="F401">
      <v>419</v>
    </oc>
    <nc r="F401"/>
  </rcc>
  <rrc rId="3548" sId="1" ref="A400:XFD400" action="deleteRow">
    <undo index="65535" exp="ref" v="1" dr="F400" r="F394" sId="1"/>
    <rfmt sheetId="1" xfDxf="1" sqref="A400:XFD400" start="0" length="0">
      <dxf>
        <font>
          <name val="Times New Roman CYR"/>
          <family val="1"/>
        </font>
        <alignment wrapText="1"/>
      </dxf>
    </rfmt>
    <rcc rId="0" sId="1" dxf="1">
      <nc r="A400" t="inlineStr">
        <is>
          <t>Организация и проведение событийного тематического мероприятия в сельской местности. Этно-туристский фестиваль "Ветер эпохи над Тамчинской долиной"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 t="inlineStr">
        <is>
          <t>08401 S2E80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00">
        <f>F401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400:XFD400" action="deleteRow">
    <rfmt sheetId="1" xfDxf="1" sqref="A400:XFD400" start="0" length="0">
      <dxf>
        <font>
          <name val="Times New Roman CYR"/>
          <family val="1"/>
        </font>
        <alignment wrapText="1"/>
      </dxf>
    </rfmt>
    <rcc rId="0" sId="1" dxf="1">
      <nc r="A40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 t="inlineStr">
        <is>
          <t>08401 S2E80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F394">
      <f>F395+F402+F400+#REF!</f>
    </oc>
    <nc r="F394">
      <f>F395+F402+F400</f>
    </nc>
  </rcc>
  <rcc rId="3551" sId="1" numFmtId="4">
    <oc r="F401">
      <v>3256.6</v>
    </oc>
    <nc r="F401"/>
  </rcc>
  <rcc rId="3552" sId="1" numFmtId="4">
    <oc r="F403">
      <v>53.191490000000002</v>
    </oc>
    <nc r="F403"/>
  </rcc>
  <rcc rId="3553" sId="1" numFmtId="4">
    <oc r="F393">
      <v>2500</v>
    </oc>
    <nc r="F393"/>
  </rcc>
  <rcc rId="3554" sId="1" numFmtId="4">
    <oc r="F407">
      <v>25</v>
    </oc>
    <nc r="F407"/>
  </rcc>
  <rcc rId="3555" sId="1" numFmtId="4">
    <oc r="F408">
      <v>10</v>
    </oc>
    <nc r="F408"/>
  </rcc>
  <rcc rId="3556" sId="1" numFmtId="4">
    <oc r="F409">
      <v>120</v>
    </oc>
    <nc r="F409"/>
  </rcc>
  <rcc rId="3557" sId="1" numFmtId="4">
    <oc r="F412">
      <v>3004.23038</v>
    </oc>
    <nc r="F412"/>
  </rcc>
  <rcc rId="3558" sId="1" numFmtId="4">
    <oc r="F414">
      <v>55</v>
    </oc>
    <nc r="F414"/>
  </rcc>
  <rrc rId="3559" sId="1" ref="A413:XFD413" action="deleteRow">
    <undo index="65535" exp="ref" v="1" dr="F413" r="F410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3">
        <f>F414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413:XFD413" action="deleteRow"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61" sId="1" numFmtId="4">
    <oc r="F414">
      <v>1273.0205100000001</v>
    </oc>
    <nc r="F414"/>
  </rcc>
  <rcc rId="3562" sId="1" numFmtId="4">
    <oc r="F416">
      <v>5101.2280000000001</v>
    </oc>
    <nc r="F416"/>
  </rcc>
  <rrc rId="3563" sId="1" ref="A413:XFD413" action="deleteRow">
    <undo index="0" exp="ref" v="1" dr="F413" r="F410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3">
        <f>F414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4" sId="1" ref="A413:XFD413" action="deleteRow"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65" sId="1">
    <oc r="F410">
      <f>F413+F411+F415+#REF!</f>
    </oc>
    <nc r="F410">
      <f>F411+F413</f>
    </nc>
  </rcc>
  <rcc rId="3566" sId="1" numFmtId="4">
    <oc r="F420">
      <v>687.95</v>
    </oc>
    <nc r="F420"/>
  </rcc>
  <rcc rId="3567" sId="1" numFmtId="4">
    <oc r="F421">
      <v>204.54</v>
    </oc>
    <nc r="F421"/>
  </rcc>
  <rcc rId="3568" sId="1" numFmtId="4">
    <oc r="F423">
      <v>6759.85</v>
    </oc>
    <nc r="F423"/>
  </rcc>
  <rcc rId="3569" sId="1" numFmtId="4">
    <oc r="F424">
      <v>11.1</v>
    </oc>
    <nc r="F424"/>
  </rcc>
  <rcc rId="3570" sId="1" numFmtId="4">
    <oc r="F425">
      <v>2023.91122</v>
    </oc>
    <nc r="F425"/>
  </rcc>
  <rcc rId="3571" sId="1" numFmtId="4">
    <oc r="F426">
      <v>117.23</v>
    </oc>
    <nc r="F426"/>
  </rcc>
  <rcc rId="3572" sId="1" numFmtId="4">
    <oc r="F427">
      <v>207.203</v>
    </oc>
    <nc r="F427"/>
  </rcc>
  <rcc rId="3573" sId="1" numFmtId="4">
    <oc r="F428">
      <v>4.9000000000000004</v>
    </oc>
    <nc r="F428"/>
  </rcc>
  <rcc rId="3574" sId="1" numFmtId="4">
    <oc r="F432">
      <v>151</v>
    </oc>
    <nc r="F432"/>
  </rcc>
  <rrc rId="3575" sId="1" ref="A433:XFD433" action="deleteRow">
    <undo index="65535" exp="ref" v="1" dr="F433" r="F415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3">
        <f>F434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3">
        <f>SUM(F434:F437)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5.8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1.7516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12.496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3.7736000000000001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81" sId="1">
    <oc r="F415">
      <f>F416+F429+#REF!</f>
    </oc>
    <nc r="F415">
      <f>F416+F429</f>
    </nc>
  </rcc>
  <rcc rId="3582" sId="1" numFmtId="4">
    <oc r="F438">
      <v>4886.3717100000003</v>
    </oc>
    <nc r="F438"/>
  </rcc>
  <rcc rId="3583" sId="1" numFmtId="4">
    <oc r="F442">
      <v>17540.3</v>
    </oc>
    <nc r="F442">
      <v>4213</v>
    </nc>
  </rcc>
  <rcc rId="3584" sId="1" numFmtId="4">
    <oc r="F445">
      <v>343.6</v>
    </oc>
    <nc r="F445"/>
  </rcc>
  <rcc rId="3585" sId="1" numFmtId="4">
    <oc r="F447">
      <v>10</v>
    </oc>
    <nc r="F447"/>
  </rcc>
  <rrc rId="3586" sId="1" ref="A446:XFD446" action="deleteRow">
    <undo index="65535" exp="ref" v="1" dr="F446" r="F440" sId="1"/>
    <rfmt sheetId="1" xfDxf="1" sqref="A446:XFD446" start="0" length="0">
      <dxf>
        <font>
          <name val="Times New Roman CYR"/>
          <family val="1"/>
        </font>
        <alignment wrapText="1"/>
      </dxf>
    </rfmt>
    <rcc rId="0" sId="1" dxf="1">
      <nc r="A446" t="inlineStr">
        <is>
          <t>Резервные фонды местных администраций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6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6">
        <f>F447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7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  <rcc rId="0" sId="1" dxf="1">
      <nc r="A446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6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6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6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8" sId="1">
    <oc r="F440">
      <f>F441+F443+#REF!</f>
    </oc>
    <nc r="F440">
      <f>F441+F443</f>
    </nc>
  </rcc>
  <rcc rId="3589" sId="1">
    <oc r="F444">
      <v>2223.13</v>
    </oc>
    <nc r="F444">
      <f>2000</f>
    </nc>
  </rcc>
  <rcc rId="3590" sId="1" numFmtId="4">
    <oc r="F451">
      <v>2301.6913199999999</v>
    </oc>
    <nc r="F451"/>
  </rcc>
  <rrc rId="3591" sId="1" ref="A456:XFD456" action="deleteRow"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6">
        <v>5.3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92" sId="1" numFmtId="4">
    <oc r="F457">
      <v>30</v>
    </oc>
    <nc r="F457">
      <v>35.82</v>
    </nc>
  </rcc>
  <rcc rId="3593" sId="1" numFmtId="4">
    <oc r="F458">
      <v>33.520000000000003</v>
    </oc>
    <nc r="F458">
      <v>33</v>
    </nc>
  </rcc>
  <rcc rId="3594" sId="1" numFmtId="4">
    <oc r="F460">
      <v>1523.7</v>
    </oc>
    <nc r="F460">
      <v>1715.6</v>
    </nc>
  </rcc>
  <rcc rId="3595" sId="1" numFmtId="4">
    <oc r="F461">
      <v>460.15</v>
    </oc>
    <nc r="F461">
      <v>518.1</v>
    </nc>
  </rcc>
  <rcc rId="3596" sId="1" numFmtId="4">
    <oc r="F467">
      <v>244.86500000000001</v>
    </oc>
    <nc r="F467">
      <v>323.89999999999998</v>
    </nc>
  </rcc>
  <rcc rId="3597" sId="1" numFmtId="4">
    <oc r="F465">
      <v>60.702759999999998</v>
    </oc>
    <nc r="F465"/>
  </rcc>
  <rcc rId="3598" sId="1" numFmtId="4">
    <oc r="F466">
      <v>18.332239999999999</v>
    </oc>
    <nc r="F466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99" sId="1" numFmtId="4">
    <oc r="F474">
      <v>7.92</v>
    </oc>
    <nc r="F474"/>
  </rcc>
  <rcc rId="3600" sId="1" numFmtId="4">
    <oc r="F475">
      <v>453.78586999999999</v>
    </oc>
    <nc r="F475"/>
  </rcc>
  <rcc rId="3601" sId="1" numFmtId="4">
    <oc r="F476">
      <v>421.00400000000002</v>
    </oc>
    <nc r="F476"/>
  </rcc>
  <rcc rId="3602" sId="1" numFmtId="4">
    <oc r="F479">
      <v>3123.9920000000002</v>
    </oc>
    <nc r="F479"/>
  </rcc>
  <rcc rId="3603" sId="1" numFmtId="4">
    <oc r="F480">
      <v>943.39800000000002</v>
    </oc>
    <nc r="F480"/>
  </rcc>
  <rcc rId="3604" sId="1" numFmtId="4">
    <oc r="F484">
      <v>5889.57</v>
    </oc>
    <nc r="F484"/>
  </rcc>
  <rcc rId="3605" sId="1" numFmtId="4">
    <oc r="F485">
      <v>21254.62</v>
    </oc>
    <nc r="F485"/>
  </rcc>
  <rcc rId="3606" sId="1" numFmtId="4">
    <oc r="F487">
      <v>2451.2417999999998</v>
    </oc>
    <nc r="F487"/>
  </rcc>
  <rcc rId="3607" sId="1" numFmtId="4">
    <oc r="F490">
      <v>609</v>
    </oc>
    <nc r="F490"/>
  </rcc>
  <rcc rId="3608" sId="1" numFmtId="4">
    <oc r="F492">
      <v>30</v>
    </oc>
    <nc r="F492"/>
  </rcc>
  <rrc rId="3609" sId="1" ref="A491:XFD491" action="deleteRow">
    <undo index="65535" exp="ref" v="1" dr="F491" r="F488" sId="1"/>
    <rfmt sheetId="1" xfDxf="1" sqref="A491:XFD491" start="0" length="0">
      <dxf>
        <font>
          <name val="Times New Roman CYR"/>
          <family val="1"/>
        </font>
        <alignment wrapText="1"/>
      </dxf>
    </rfmt>
    <rcc rId="0" sId="1" dxf="1">
      <nc r="A491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1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1">
        <f>F492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10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  <rcc rId="0" sId="1" dxf="1">
      <nc r="A491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1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1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11" sId="1">
    <oc r="F488">
      <f>F489+#REF!</f>
    </oc>
    <nc r="F488">
      <f>F489</f>
    </nc>
  </rcc>
  <rcc rId="3612" sId="1" numFmtId="4">
    <oc r="F496">
      <v>16247.69425</v>
    </oc>
    <nc r="F496"/>
  </rcc>
  <rcc rId="3613" sId="1" numFmtId="4">
    <oc r="F497">
      <v>407.12655999999998</v>
    </oc>
    <nc r="F497"/>
  </rcc>
  <rcc rId="3614" sId="1" numFmtId="4">
    <oc r="F499">
      <v>1830</v>
    </oc>
    <nc r="F499"/>
  </rcc>
  <rcc rId="3615" sId="1" numFmtId="4">
    <oc r="F501">
      <v>7090.2</v>
    </oc>
    <nc r="F501"/>
  </rcc>
  <rrc rId="3616" sId="1" ref="A498:XFD498" action="deleteRow">
    <undo index="65535" exp="ref" v="1" dr="F498" r="F494" sId="1"/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8">
        <f>F499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17" sId="1" ref="A498:XFD498" action="deleteRow"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09301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18" sId="1" numFmtId="4">
    <oc r="F501">
      <v>9180</v>
    </oc>
    <nc r="F501"/>
  </rcc>
  <rrc rId="3619" sId="1" ref="A500:XFD500" action="deleteRow">
    <undo index="65535" exp="ref" v="1" dr="F500" r="F494" sId="1"/>
    <rfmt sheetId="1" xfDxf="1" sqref="A500:XFD500" start="0" length="0">
      <dxf>
        <font>
          <i/>
          <name val="Times New Roman CYR"/>
          <family val="1"/>
        </font>
        <alignment wrapText="1"/>
      </dxf>
    </rfmt>
    <rcc rId="0" sId="1" dxf="1">
      <nc r="A500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09301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0">
        <f>F501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0" sId="1" ref="A500:XFD500" action="deleteRow">
    <rfmt sheetId="1" xfDxf="1" sqref="A500:XFD500" start="0" length="0">
      <dxf>
        <font>
          <i/>
          <name val="Times New Roman CYR"/>
          <family val="1"/>
        </font>
        <alignment wrapText="1"/>
      </dxf>
    </rfmt>
    <rcc rId="0" sId="1" dxf="1">
      <nc r="A5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09301 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21" sId="1">
    <oc r="F494">
      <f>F495+F498+#REF!+#REF!</f>
    </oc>
    <nc r="F494">
      <f>F495+F498</f>
    </nc>
  </rcc>
  <rcc rId="3622" sId="1" numFmtId="4">
    <oc r="F501">
      <v>624.18138999999996</v>
    </oc>
    <nc r="F501"/>
  </rcc>
  <rcc rId="3623" sId="1" numFmtId="4">
    <oc r="F503">
      <v>614.20479999999998</v>
    </oc>
    <nc r="F503"/>
  </rcc>
  <rcc rId="3624" sId="1" numFmtId="4">
    <oc r="F506">
      <v>107.96193</v>
    </oc>
    <nc r="F506"/>
  </rcc>
  <rrc rId="3625" sId="1" ref="A504:XFD504" action="deleteRow">
    <undo index="65535" exp="ref" v="1" dr="F504" r="F491" sId="1"/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4">
        <f>F505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6" sId="1" ref="A504:XFD504" action="deleteRow"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4">
        <f>F505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7" sId="1" ref="A504:XFD504" action="deleteRow"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28" sId="1">
    <oc r="F491">
      <f>F492+#REF!</f>
    </oc>
    <nc r="F491">
      <f>F492</f>
    </nc>
  </rcc>
  <rcc rId="3629" sId="1" numFmtId="4">
    <oc r="F508">
      <v>0.95</v>
    </oc>
    <nc r="F508"/>
  </rcc>
  <rrc rId="3630" sId="1" ref="A505:XFD505" action="deleteRow">
    <undo index="65535" exp="ref" v="1" dr="F505" r="F504" sId="1"/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50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505:XFD505" action="deleteRow"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505:XFD505" action="deleteRow">
    <rfmt sheetId="1" xfDxf="1" sqref="A505:XFD505" start="0" length="0">
      <dxf>
        <font>
          <i/>
          <name val="Times New Roman CYR"/>
          <family val="1"/>
        </font>
        <alignment wrapText="1"/>
      </dxf>
    </rfmt>
    <rcc rId="0" sId="1" dxf="1">
      <nc r="A505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505" start="0" length="0">
      <dxf>
        <numFmt numFmtId="165" formatCode="0.00000"/>
      </dxf>
    </rfmt>
  </rrc>
  <rrc rId="3633" sId="1" ref="A505:XFD505" action="deleteRow"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34" sId="1" numFmtId="4">
    <oc r="F509">
      <v>707.2</v>
    </oc>
    <nc r="F509"/>
  </rcc>
  <rcc rId="3635" sId="1" numFmtId="4">
    <oc r="F510">
      <v>210.255</v>
    </oc>
    <nc r="F510"/>
  </rcc>
  <rcc rId="3636" sId="1" numFmtId="4">
    <oc r="F512">
      <v>1725.5671299999999</v>
    </oc>
    <nc r="F512"/>
  </rcc>
  <rcc rId="3637" sId="1" numFmtId="4">
    <oc r="F513">
      <v>516.16470000000004</v>
    </oc>
    <nc r="F513"/>
  </rcc>
  <rcc rId="3638" sId="1" numFmtId="4">
    <oc r="F514">
      <v>101</v>
    </oc>
    <nc r="F514"/>
  </rcc>
  <rcc rId="3639" sId="1" numFmtId="4">
    <oc r="F515">
      <v>110.51730000000001</v>
    </oc>
    <nc r="F515"/>
  </rcc>
  <rcc rId="3640" sId="1" numFmtId="4">
    <oc r="F516">
      <v>3.72675</v>
    </oc>
    <nc r="F516"/>
  </rcc>
  <rcc rId="3641" sId="1" numFmtId="4">
    <oc r="F517">
      <v>0.40325</v>
    </oc>
    <nc r="F517"/>
  </rcc>
  <rcc rId="3642" sId="1" numFmtId="4">
    <oc r="F519">
      <v>93249.86</v>
    </oc>
    <nc r="F519"/>
  </rcc>
  <rrc rId="3643" sId="1" ref="A518:XFD518" action="deleteRow">
    <undo index="65535" exp="ref" v="1" dr="F518" r="F507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5" sId="1" numFmtId="4">
    <oc r="F520">
      <v>2.9</v>
    </oc>
    <nc r="F520"/>
  </rcc>
  <rcc rId="3646" sId="1" numFmtId="4">
    <oc r="F521">
      <v>0.87580000000000002</v>
    </oc>
    <nc r="F521"/>
  </rcc>
  <rcc rId="3647" sId="1" numFmtId="4">
    <oc r="F522">
      <v>26.111999999999998</v>
    </oc>
    <nc r="F522"/>
  </rcc>
  <rcc rId="3648" sId="1" numFmtId="4">
    <oc r="F523">
      <v>7.8864000000000001</v>
    </oc>
    <nc r="F523"/>
  </rcc>
  <rrc rId="3649" sId="1" ref="A518:XFD518" action="deleteRow">
    <undo index="65535" exp="ref" v="1" dr="F518" r="F504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SUM(F519:F522)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2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3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4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55" sId="1">
    <oc r="F507">
      <f>F508+F511+#REF!</f>
    </oc>
    <nc r="F507">
      <f>F508+F511</f>
    </nc>
  </rcc>
  <rcc rId="3656" sId="1">
    <oc r="F504">
      <f>F505+F520+#REF!</f>
    </oc>
    <nc r="F504">
      <f>F505</f>
    </nc>
  </rcc>
  <rcc rId="3657" sId="1" numFmtId="4">
    <oc r="F524">
      <v>21.27251</v>
    </oc>
    <nc r="F524"/>
  </rcc>
  <rrc rId="3658" sId="1" ref="A518:XFD518" action="deleteRow">
    <undo index="65535" exp="ref" v="1" dr="F518" r="F549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9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18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8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0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1" sId="1" ref="A518:XFD518" action="deleteRow">
    <rfmt sheetId="1" xfDxf="1" sqref="A518:XFD518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2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3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SUM(F519)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4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65" sId="1" numFmtId="4">
    <oc r="F526">
      <v>104.41723</v>
    </oc>
    <nc r="F526">
      <v>106.2</v>
    </nc>
  </rcc>
  <rcc rId="3666" sId="1" numFmtId="4">
    <oc r="F524">
      <v>17559.3</v>
    </oc>
    <nc r="F524"/>
  </rcc>
  <rcc rId="3667" sId="1" numFmtId="4">
    <oc r="F532">
      <v>27683.5</v>
    </oc>
    <nc r="F532"/>
  </rcc>
  <rcc rId="3668" sId="1" numFmtId="4">
    <oc r="F536">
      <v>6030</v>
    </oc>
    <nc r="F536"/>
  </rcc>
  <rcc rId="3669" sId="1" numFmtId="4">
    <oc r="F539">
      <v>210.3511</v>
    </oc>
    <nc r="F539"/>
  </rcc>
  <rcc rId="3670" sId="1" numFmtId="4">
    <oc r="F541">
      <v>9720.5397200000007</v>
    </oc>
    <nc r="F541"/>
  </rcc>
  <rrc rId="3671" sId="1" ref="A533:XFD533" action="deleteRow">
    <undo index="65535" exp="ref" v="1" dr="F533" r="F527" sId="1"/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Муниципальная программа «Поддержка сельских и городских инициатив в Селенгинском районе на 2020-2024 годы»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33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2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Основное мероприятие "Поощрение муниципальным учреждениям по итогам выборов в Селенгинском районе"</t>
        </is>
      </nc>
      <ndxf>
        <font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3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Награждение победителей и призеров республиканского конкурса "Лучшее территориальное общественное самоуправление"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14001 74030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4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14001 74030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75" sId="1" ref="A533:XFD533" action="deleteRow">
    <undo index="65535" exp="ref" v="1" dr="F533" r="F527" sId="1"/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F536+F534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6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99900 55493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7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99900 55493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78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9" sId="1" ref="A533:XFD533" action="deleteRow">
    <rfmt sheetId="1" xfDxf="1" sqref="A533:XFD533" start="0" length="0">
      <dxf>
        <font>
          <name val="Times New Roman CYR"/>
          <family val="1"/>
        </font>
        <alignment wrapText="1"/>
      </dxf>
    </rfmt>
    <rcc rId="0" sId="1" dxf="1">
      <nc r="A533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80" sId="1" ref="A527:XFD527" action="deleteRow">
    <undo index="65535" exp="ref" v="1" dr="F527" r="F518" sId="1"/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27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7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F528+#REF!+#REF!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1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2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3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F528+F531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4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5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86" sId="1">
    <oc r="F518">
      <f>F519+#REF!</f>
    </oc>
    <nc r="F518">
      <f>F519</f>
    </nc>
  </rcc>
  <rcc rId="3687" sId="1">
    <oc r="F527">
      <f>F21+F152+F158+F229+F243+F372+F433+F468+#REF!+F518</f>
    </oc>
    <nc r="F527">
      <f>F21+F152+F158+F229+F243+F372+F433+F468+F518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8" sId="1" numFmtId="4">
    <oc r="F531">
      <v>2029990.24697</v>
    </oc>
    <nc r="F531">
      <v>1033422.43</v>
    </nc>
  </rcc>
  <rcc rId="3689" sId="1" numFmtId="4">
    <oc r="F35">
      <v>0</v>
    </oc>
    <nc r="F35"/>
  </rcc>
  <rcc rId="3690" sId="1" numFmtId="4">
    <oc r="F36">
      <v>0</v>
    </oc>
    <nc r="F36"/>
  </rcc>
  <rcc rId="3691" sId="1" numFmtId="4">
    <oc r="F37">
      <v>0</v>
    </oc>
    <nc r="F37"/>
  </rcc>
  <rcc rId="3692" sId="1" numFmtId="4">
    <oc r="F38">
      <v>0</v>
    </oc>
    <nc r="F38"/>
  </rcc>
  <rcc rId="3693" sId="1" numFmtId="4">
    <oc r="F39">
      <v>0</v>
    </oc>
    <nc r="F39"/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4" sId="1" odxf="1" dxf="1">
    <oc r="A118" t="inlineStr">
      <is>
        <t>На поощрение муниципальных районов и городских округов в Республике Бурятия по итогам "Комплексной оценки уровня развития муниципальных районов и городских округов в Республике Бурятия"</t>
      </is>
    </oc>
    <nc r="A118" t="inlineStr">
      <is>
        <t>Празднование юбилейных и памятных дат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695" sId="1">
    <oc r="D118" t="inlineStr">
      <is>
        <t>99900 71090</t>
      </is>
    </oc>
    <nc r="D118" t="inlineStr">
      <is>
        <t>99900  71050</t>
      </is>
    </nc>
  </rcc>
  <rcc rId="3696" sId="1">
    <oc r="F118">
      <f>F119</f>
    </oc>
    <nc r="F118">
      <f>F119</f>
    </nc>
  </rcc>
  <rcc rId="3697" sId="1">
    <oc r="D119" t="inlineStr">
      <is>
        <t>99900 71090</t>
      </is>
    </oc>
    <nc r="D119" t="inlineStr">
      <is>
        <t>99900 71050</t>
      </is>
    </nc>
  </rcc>
  <rcc rId="3698" sId="1" numFmtId="4">
    <oc r="F119">
      <v>649.29899999999998</v>
    </oc>
    <nc r="F119">
      <v>500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99" sId="1" ref="A236:XFD236" action="insertRow"/>
  <rrc rId="3700" sId="1" ref="A236:XFD236" action="insertRow"/>
  <rcc rId="3701" sId="1" odxf="1" dxf="1">
    <nc r="A236" t="inlineStr">
      <is>
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3702" sId="1" odxf="1" dxf="1">
    <nc r="A23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3703" sId="1" odxf="1" dxf="1">
    <nc r="B23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4" sId="1" odxf="1" dxf="1">
    <nc r="C23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5" sId="1" odxf="1" dxf="1">
    <nc r="D236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36" start="0" length="0">
    <dxf>
      <font>
        <b val="0"/>
        <i/>
        <name val="Times New Roman"/>
        <family val="1"/>
      </font>
    </dxf>
  </rfmt>
  <rcc rId="3706" sId="1" odxf="1" dxf="1">
    <nc r="F236">
      <f>SUM(F237:F237)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7" sId="1" odxf="1" dxf="1">
    <nc r="B23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08" sId="1" odxf="1" dxf="1">
    <nc r="C237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09" sId="1" odxf="1" dxf="1">
    <nc r="D237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10" sId="1" odxf="1" dxf="1">
    <nc r="E237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11" sId="1" odxf="1" dxf="1" numFmtId="4">
    <nc r="F237">
      <v>13510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12" sId="1" ref="A245:XFD245" action="insertRow"/>
  <rrc rId="3713" sId="1" ref="A245:XFD245" action="insertRow"/>
  <rrc rId="3714" sId="1" ref="A245:XFD245" action="insertRow"/>
  <rrc rId="3715" sId="1" ref="A245:XFD245" action="insertRow"/>
  <rcc rId="3716" sId="1" odxf="1" dxf="1">
    <nc r="A245" t="inlineStr">
      <is>
        <t>Другие вопросы в области жилищно-коммунального хозяйства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left"/>
    </odxf>
    <ndxf>
      <font>
        <b/>
        <name val="Times New Roman"/>
        <family val="1"/>
      </font>
      <fill>
        <patternFill>
          <bgColor indexed="41"/>
        </patternFill>
      </fill>
      <alignment horizontal="general"/>
    </ndxf>
  </rcc>
  <rcc rId="3717" sId="1" odxf="1" dxf="1">
    <nc r="A246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718" sId="1" odxf="1" dxf="1">
    <nc r="A247" t="inlineStr">
      <is>
        <t>Строительство и реконструкция (модернизация) объектов питьевого водоснабжения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719" sId="1" odxf="1" dxf="1">
    <nc r="A248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3720" sId="1" odxf="1" dxf="1">
    <nc r="B24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721" sId="1" odxf="1" dxf="1">
    <nc r="C24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722" sId="1" odxf="1" dxf="1">
    <nc r="F245">
      <f>F246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3723" sId="1" odxf="1" dxf="1">
    <nc r="B24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24" sId="1" odxf="1" dxf="1">
    <nc r="C24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25" sId="1" odxf="1" dxf="1">
    <nc r="D24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46" start="0" length="0">
    <dxf>
      <font>
        <b/>
        <name val="Times New Roman"/>
        <family val="1"/>
      </font>
    </dxf>
  </rfmt>
  <rcc rId="3726" sId="1" odxf="1" dxf="1">
    <nc r="F246">
      <f>F247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3727" sId="1" odxf="1" dxf="1">
    <nc r="B2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728" sId="1" odxf="1" dxf="1">
    <nc r="C2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729" sId="1" odxf="1" dxf="1">
    <nc r="D247" t="inlineStr">
      <is>
        <t>999F5 52430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7" start="0" length="0">
    <dxf>
      <font>
        <i/>
        <name val="Times New Roman"/>
        <family val="1"/>
      </font>
    </dxf>
  </rfmt>
  <rcc rId="3730" sId="1" odxf="1" dxf="1">
    <nc r="F247">
      <f>F248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31" sId="1">
    <nc r="B248" t="inlineStr">
      <is>
        <t>05</t>
      </is>
    </nc>
  </rcc>
  <rcc rId="3732" sId="1">
    <nc r="C248" t="inlineStr">
      <is>
        <t>05</t>
      </is>
    </nc>
  </rcc>
  <rcc rId="3733" sId="1">
    <nc r="D248" t="inlineStr">
      <is>
        <t>999F5 52430</t>
      </is>
    </nc>
  </rcc>
  <rcc rId="3734" sId="1">
    <nc r="E248" t="inlineStr">
      <is>
        <t>465</t>
      </is>
    </nc>
  </rcc>
  <rcc rId="3735" sId="1">
    <nc r="F248">
      <f>100000+2040.8</f>
    </nc>
  </rcc>
  <rcc rId="3736" sId="1">
    <oc r="F229">
      <f>F230+F240</f>
    </oc>
    <nc r="F229">
      <f>F230+F240+F245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7" sId="1" numFmtId="4">
    <oc r="F299">
      <v>13857.7</v>
    </oc>
    <nc r="F299"/>
  </rcc>
  <rcc rId="3738" sId="1">
    <oc r="F235">
      <f>F238</f>
    </oc>
    <nc r="F235">
      <f>F238+F236</f>
    </nc>
  </rcc>
  <rcc rId="3739" sId="1" numFmtId="4">
    <oc r="F324">
      <v>100</v>
    </oc>
    <nc r="F324"/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9" sId="1" numFmtId="4">
    <oc r="F426">
      <v>2602.1999999999998</v>
    </oc>
    <nc r="F426">
      <f>2602.2-200</f>
    </nc>
  </rcc>
  <rcc rId="670" sId="1" numFmtId="4">
    <oc r="F243">
      <v>122084.7</v>
    </oc>
    <nc r="F243">
      <v>123194.7</v>
    </nc>
  </rcc>
  <rcc rId="671" sId="1">
    <oc r="F248">
      <f>64837.2</f>
    </oc>
    <nc r="F248">
      <f>77465.3</f>
    </nc>
  </rcc>
  <rcc rId="672" sId="1" numFmtId="4">
    <oc r="F256">
      <v>229903.2</v>
    </oc>
    <nc r="F256">
      <v>241729</v>
    </nc>
  </rcc>
  <rcc rId="673" sId="1">
    <oc r="F271">
      <f>86160.4+5409.3</f>
    </oc>
    <nc r="F271">
      <f>88367+5409.3</f>
    </nc>
  </rcc>
  <rcc rId="674" sId="1">
    <oc r="F267">
      <f>27247.5+256.11</f>
    </oc>
    <nc r="F267">
      <f>30351+256.11</f>
    </nc>
  </rcc>
  <rcc rId="675" sId="1" numFmtId="4">
    <oc r="F323">
      <v>5196.8</v>
    </oc>
    <nc r="F323">
      <v>5153.3</v>
    </nc>
  </rcc>
  <rcc rId="676" sId="1" numFmtId="4">
    <oc r="F326">
      <v>4136.5</v>
    </oc>
    <nc r="F326">
      <v>4805.2</v>
    </nc>
  </rcc>
  <rcc rId="677" sId="1" numFmtId="4">
    <oc r="F329">
      <v>59.9</v>
    </oc>
    <nc r="F329">
      <v>55.37</v>
    </nc>
  </rcc>
  <rcc rId="678" sId="1" numFmtId="4">
    <oc r="F330">
      <v>18.100000000000001</v>
    </oc>
    <nc r="F330">
      <v>21.93</v>
    </nc>
  </rcc>
  <rcc rId="679" sId="1" numFmtId="4">
    <oc r="F336">
      <v>47.9</v>
    </oc>
    <nc r="F336">
      <v>59.37</v>
    </nc>
  </rcc>
  <rcc rId="680" sId="1" numFmtId="4">
    <oc r="F337">
      <v>14.2</v>
    </oc>
    <nc r="F337">
      <v>12.73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5" sId="1" numFmtId="4">
    <oc r="F245">
      <v>35191.24</v>
    </oc>
    <nc r="F245">
      <v>24857.03</v>
    </nc>
  </rcc>
  <rcc rId="766" sId="1">
    <oc r="F248">
      <f>77465.3</f>
    </oc>
    <nc r="F248">
      <f>77465.3+1549.3</f>
    </nc>
  </rcc>
  <rcc rId="767" sId="1" numFmtId="4">
    <oc r="F264">
      <v>49871.65</v>
    </oc>
    <nc r="F264">
      <v>57084.29</v>
    </nc>
  </rcc>
  <rcc rId="768" sId="1">
    <oc r="F267">
      <f>30351+256.11</f>
    </oc>
    <nc r="F267">
      <f>30351+303.51</f>
    </nc>
  </rcc>
  <rcc rId="769" sId="1">
    <oc r="F271">
      <f>88367+5409.3</f>
    </oc>
    <nc r="F271">
      <f>88367+7339.29</f>
    </nc>
  </rcc>
  <rcc rId="770" sId="1" numFmtId="4">
    <oc r="F294">
      <v>9444.26</v>
    </oc>
    <nc r="F294">
      <v>10546.06</v>
    </nc>
  </rcc>
  <rcc rId="771" sId="1" numFmtId="4">
    <oc r="F295">
      <v>22111.06</v>
    </oc>
    <nc r="F295">
      <v>26548.07</v>
    </nc>
  </rcc>
  <rcc rId="772" sId="1" numFmtId="4">
    <oc r="F343">
      <v>464.18</v>
    </oc>
    <nc r="F343">
      <v>607.84</v>
    </nc>
  </rcc>
  <rcc rId="773" sId="1" numFmtId="4">
    <oc r="F344">
      <v>140.18</v>
    </oc>
    <nc r="F344">
      <v>183.56</v>
    </nc>
  </rcc>
  <rcc rId="774" sId="1" numFmtId="4">
    <oc r="F346">
      <v>16923.82</v>
    </oc>
    <nc r="F346">
      <v>21366.39</v>
    </nc>
  </rcc>
  <rcc rId="775" sId="1" numFmtId="4">
    <oc r="F347">
      <v>5110.99</v>
    </oc>
    <nc r="F347">
      <v>6452.65</v>
    </nc>
  </rcc>
  <rcc rId="776" sId="1" numFmtId="4">
    <oc r="F348">
      <v>336.9</v>
    </oc>
    <nc r="F348">
      <f>180+650.69</f>
    </nc>
  </rcc>
  <rcc rId="777" sId="1" numFmtId="4">
    <oc r="F349">
      <v>2900.43</v>
    </oc>
    <nc r="F349">
      <f>4007.81+34.04</f>
    </nc>
  </rcc>
  <rcc rId="778" sId="1" numFmtId="4">
    <oc r="F350">
      <v>839.73</v>
    </oc>
    <nc r="F350">
      <v>1049.6500000000001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  <oldFormula>функцион.структура!$A$1:$F$504</oldFormula>
  </rdn>
  <rdn rId="0" localSheetId="1" customView="1" name="Z_629918FE_B1DF_464A_BF50_03D18729BC02_.wvu.FilterData" hidden="1" oldHidden="1">
    <formula>функцион.структура!$A$17:$K$511</formula>
    <oldFormula>функцион.структура!$A$17:$K$511</oldFormula>
  </rdn>
  <rcv guid="{629918FE-B1DF-464A-BF50-03D18729BC02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0" sId="1" xfDxf="1" dxf="1" numFmtId="4">
    <nc r="F299">
      <v>13857.7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741" sId="1" odxf="1" dxf="1">
    <oc r="A298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98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3742" sId="1" xfDxf="1" dxf="1" numFmtId="4">
    <nc r="F388">
      <v>5374.1559999999999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743" sId="1" numFmtId="4">
    <nc r="F397">
      <v>9722.6280000000006</v>
    </nc>
  </rcc>
  <rcc rId="3744" sId="1" numFmtId="4">
    <nc r="F420">
      <v>5154.2160000000003</v>
    </nc>
  </rcc>
  <rcc rId="3745" sId="1" odxf="1" dxf="1">
    <oc r="A449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449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  <rcc rId="3746" sId="1" numFmtId="4">
    <nc r="F451">
      <v>309.10000000000002</v>
    </nc>
  </rcc>
  <rcc rId="3747" sId="1" numFmtId="4">
    <nc r="F324">
      <v>100</v>
    </nc>
  </rcc>
  <rcc rId="3748" sId="1">
    <oc r="F450">
      <f>2000</f>
    </oc>
    <nc r="F450">
      <f>2000+60+233.1</f>
    </nc>
  </rcc>
  <rcc rId="3749" sId="1">
    <nc r="F457">
      <f>1441.3+511</f>
    </nc>
  </rcc>
  <rcc rId="3750" sId="1">
    <oc r="A456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56" t="inlineStr">
      <is>
        <t>Реализация мероприятий по обеспечению жильем молодых семей</t>
      </is>
    </nc>
  </rcc>
  <rcc rId="3751" sId="1" numFmtId="4">
    <nc r="F486">
      <v>204.4</v>
    </nc>
  </rcc>
  <rcc rId="3752" sId="1" numFmtId="4">
    <nc r="F485">
      <v>676.8</v>
    </nc>
  </rcc>
  <rcc rId="3753" sId="1">
    <oc r="A484" t="inlineStr">
      <is>
        <t>Cодержание инструкторов по физической культуре и спорту</t>
      </is>
    </oc>
    <nc r="A484" t="inlineStr">
      <is>
        <t>Расходы на содержание инструкторов по физической культуре и спорту</t>
      </is>
    </nc>
  </rcc>
  <rcc rId="3754" sId="1">
    <oc r="A504" t="inlineStr">
      <is>
        <t xml:space="preserve">Субсидии муниципальным учереждениям, реализующим программы спортивной подготовки на 2020 год   </t>
      </is>
    </oc>
    <nc r="A504" t="inlineStr">
      <is>
        <t>Субсидии муниципальным учреждениям, реализующим программы спортивной подготовки</t>
      </is>
    </nc>
  </rcc>
  <rcc rId="3755" sId="1" numFmtId="4">
    <nc r="F505">
      <v>13287.4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функцион.структура!$A$1:$F$533</formula>
    <oldFormula>функцион.структура!$A$1:$F$533</oldFormula>
  </rdn>
  <rdn rId="0" localSheetId="1" customView="1" name="Z_629918FE_B1DF_464A_BF50_03D18729BC02_.wvu.FilterData" hidden="1" oldHidden="1">
    <formula>функцион.структура!$A$20:$F$540</formula>
    <oldFormula>функцион.структура!$A$20:$F$540</oldFormula>
  </rdn>
  <rcv guid="{629918FE-B1DF-464A-BF50-03D18729BC02}" action="add"/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8" sId="1" odxf="1" dxf="1">
    <nc r="G535">
      <f>F533-F470-F465-F460-F449-F447-F419-F247-F236-F227-F181-F179-F176-F174-F171-F169-F130-F125-F120-F115-F71-F58-F30</f>
    </nc>
    <odxf>
      <numFmt numFmtId="0" formatCode="General"/>
    </odxf>
    <ndxf>
      <numFmt numFmtId="165" formatCode="0.00000"/>
    </ndxf>
  </rcc>
  <rcc rId="3759" sId="1" numFmtId="4">
    <nc r="F530">
      <v>15413.6</v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0" sId="1">
    <oc r="G535">
      <f>F533-F470-F465-F460-F449-F447-F419-F247-F236-F227-F181-F179-F176-F174-F171-F169-F130-F125-F120-F115-F71-F58-F30</f>
    </oc>
    <nc r="G535">
      <f>F533-F470-F465-F460-F449-F447-F419-F247-F236-F227-F181-F179-F176-F174-F171-F169-F130-F125-F120-F115-F71-F58-F30-F118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1" sId="1" numFmtId="4">
    <oc r="F537">
      <v>1033422.43</v>
    </oc>
    <nc r="F537">
      <v>1048836.03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функцион.структура!$A$1:$F$533</formula>
    <oldFormula>функцион.структура!$A$1:$F$533</oldFormula>
  </rdn>
  <rdn rId="0" localSheetId="1" customView="1" name="Z_629918FE_B1DF_464A_BF50_03D18729BC02_.wvu.FilterData" hidden="1" oldHidden="1">
    <formula>функцион.структура!$A$20:$F$540</formula>
    <oldFormula>функцион.структура!$A$20:$F$540</oldFormula>
  </rdn>
  <rcv guid="{629918FE-B1DF-464A-BF50-03D18729BC02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4" sId="1">
    <oc r="D118" t="inlineStr">
      <is>
        <t>99900  71050</t>
      </is>
    </oc>
    <nc r="D118" t="inlineStr">
      <is>
        <t>99900 71050</t>
      </is>
    </nc>
  </rcc>
  <rcc rId="3765" sId="1">
    <oc r="D120" t="inlineStr">
      <is>
        <t>99900  73100</t>
      </is>
    </oc>
    <nc r="D120" t="inlineStr">
      <is>
        <t>99900 73100</t>
      </is>
    </nc>
  </rcc>
  <rcc rId="3766" sId="1">
    <oc r="D169" t="inlineStr">
      <is>
        <t>99900  73070</t>
      </is>
    </oc>
    <nc r="D169" t="inlineStr">
      <is>
        <t>99900 73070</t>
      </is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7" sId="1" numFmtId="4">
    <nc r="F297">
      <v>12247</v>
    </nc>
  </rcc>
  <rcc rId="3768" sId="1" numFmtId="4">
    <nc r="F328">
      <v>1121.0999999999999</v>
    </nc>
  </rcc>
  <rcc rId="3769" sId="1" numFmtId="4">
    <nc r="F384">
      <v>8348.1</v>
    </nc>
  </rcc>
  <rcc rId="3770" sId="1" numFmtId="4">
    <nc r="F392">
      <v>14340.9</v>
    </nc>
  </rcc>
  <rcc rId="3771" sId="1" numFmtId="4">
    <nc r="F429">
      <v>6828.8</v>
    </nc>
  </rcc>
  <rcc rId="3772" sId="1" numFmtId="4">
    <nc r="F431">
      <v>2062.3000000000002</v>
    </nc>
  </rcc>
  <rcc rId="3773" sId="1" numFmtId="4">
    <nc r="F426">
      <v>639.79999999999995</v>
    </nc>
  </rcc>
  <rcc rId="3774" sId="1" numFmtId="4">
    <nc r="F427">
      <v>193.2</v>
    </nc>
  </rcc>
  <rcc rId="3775" sId="1" numFmtId="4">
    <nc r="F502">
      <v>24330.799999999999</v>
    </nc>
  </rcc>
  <rcc rId="3776" sId="1" numFmtId="4">
    <nc r="F515">
      <v>621.9</v>
    </nc>
  </rcc>
  <rcc rId="3777" sId="1" numFmtId="4">
    <nc r="F516">
      <v>187.8</v>
    </nc>
  </rcc>
  <rcc rId="3778" sId="1" numFmtId="4">
    <nc r="F518">
      <v>1847.2</v>
    </nc>
  </rcc>
  <rcc rId="3779" sId="1" numFmtId="4">
    <nc r="F519">
      <v>557.9</v>
    </nc>
  </rcc>
  <rcc rId="3780" sId="1" numFmtId="4">
    <oc r="F485">
      <v>676.8</v>
    </oc>
    <nc r="F485">
      <f>676.8+1954.41+517.25</f>
    </nc>
  </rcc>
  <rcc rId="3781" sId="1" numFmtId="4">
    <oc r="F486">
      <v>204.4</v>
    </oc>
    <nc r="F486">
      <f>204.4+590.22+156.21</f>
    </nc>
  </rcc>
  <rcc rId="3782" sId="1">
    <oc r="F457">
      <f>1441.3+511</f>
    </oc>
    <nc r="F457">
      <f>1441.3+511+453.1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3" sId="1" numFmtId="4">
    <oc r="F26">
      <v>0</v>
    </oc>
    <nc r="F26">
      <v>1949.6</v>
    </nc>
  </rcc>
  <rcc rId="3784" sId="1" numFmtId="4">
    <oc r="F27">
      <v>0</v>
    </oc>
    <nc r="F27">
      <v>588.79999999999995</v>
    </nc>
  </rcc>
  <rrc rId="3785" sId="1" ref="A36:XFD36" action="deleteRow">
    <rfmt sheetId="1" xfDxf="1" sqref="A36:XFD36" start="0" length="0">
      <dxf>
        <font>
          <name val="Times New Roman CYR"/>
          <family val="1"/>
        </font>
        <alignment wrapText="1"/>
      </dxf>
    </rfmt>
    <rcc rId="0" sId="1" dxf="1">
      <nc r="A3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86" sId="1" ref="A37:XFD37" action="deleteRow">
    <rfmt sheetId="1" xfDxf="1" sqref="A37:XFD37" start="0" length="0">
      <dxf>
        <font>
          <name val="Times New Roman CYR"/>
          <family val="1"/>
        </font>
        <alignment wrapText="1"/>
      </dxf>
    </rfmt>
    <rcc rId="0" sId="1" dxf="1">
      <nc r="A3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87" sId="1" numFmtId="4">
    <nc r="F35">
      <v>1016.7</v>
    </nc>
  </rcc>
  <rcc rId="3788" sId="1" numFmtId="4">
    <nc r="F36">
      <v>307</v>
    </nc>
  </rcc>
  <rcc rId="3789" sId="1" numFmtId="4">
    <nc r="F37">
      <v>100</v>
    </nc>
  </rcc>
  <rcc rId="3790" sId="1" numFmtId="4">
    <nc r="F39">
      <v>1559.8</v>
    </nc>
  </rcc>
  <rcc rId="3791" sId="1" numFmtId="4">
    <nc r="F40">
      <v>100</v>
    </nc>
  </rcc>
  <rcc rId="3792" sId="1" numFmtId="4">
    <nc r="F41">
      <v>471.1</v>
    </nc>
  </rcc>
  <rfmt sheetId="1" xfDxf="1" sqref="H469" start="0" length="0">
    <dxf>
      <font>
        <name val="Times New Roman CYR"/>
        <family val="1"/>
      </font>
      <alignment wrapText="1"/>
    </dxf>
  </rfmt>
  <rfmt sheetId="1" xfDxf="1" sqref="H470" start="0" length="0">
    <dxf>
      <font>
        <name val="Times New Roman CYR"/>
        <family val="1"/>
      </font>
      <alignment wrapText="1"/>
    </dxf>
  </rfmt>
  <rfmt sheetId="1" xfDxf="1" sqref="H471" start="0" length="0">
    <dxf>
      <font>
        <name val="Times New Roman CYR"/>
        <family val="1"/>
      </font>
      <alignment wrapText="1"/>
    </dxf>
  </rfmt>
  <rfmt sheetId="1" xfDxf="1" sqref="H472" start="0" length="0">
    <dxf>
      <font>
        <name val="Times New Roman CYR"/>
        <family val="1"/>
      </font>
      <alignment wrapText="1"/>
    </dxf>
  </rfmt>
  <rrc rId="3793" sId="1" ref="A472:XFD472" action="insertRow"/>
  <rcc rId="3794" sId="1">
    <nc r="B472" t="inlineStr">
      <is>
        <t>10</t>
      </is>
    </nc>
  </rcc>
  <rcc rId="3795" sId="1">
    <nc r="C472" t="inlineStr">
      <is>
        <t>06</t>
      </is>
    </nc>
  </rcc>
  <rcc rId="3796" sId="1">
    <nc r="D472" t="inlineStr">
      <is>
        <t>99900 73250</t>
      </is>
    </nc>
  </rcc>
  <rcc rId="3797" sId="1">
    <nc r="E472" t="inlineStr">
      <is>
        <t>244</t>
      </is>
    </nc>
  </rcc>
  <rcc rId="3798" sId="1" numFmtId="4">
    <nc r="F469">
      <v>136.80000000000001</v>
    </nc>
  </rcc>
  <rcc rId="3799" sId="1" numFmtId="4">
    <nc r="F470">
      <v>41.3</v>
    </nc>
  </rcc>
  <rcc rId="3800" sId="1" numFmtId="4">
    <oc r="F471">
      <v>323.89999999999998</v>
    </oc>
    <nc r="F471">
      <v>97.2</v>
    </nc>
  </rcc>
  <rcc rId="3801" sId="1" numFmtId="4">
    <nc r="F472">
      <v>48.6</v>
    </nc>
  </rcc>
  <rcc rId="3802" sId="1">
    <oc r="F468">
      <f>SUM(F469:F471)</f>
    </oc>
    <nc r="F468">
      <f>SUM(F469:F472)</f>
    </nc>
  </rcc>
  <rcc rId="3803" sId="1" odxf="1" dxf="1">
    <nc r="A472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4" sId="1" numFmtId="4">
    <nc r="F46">
      <v>10623.4</v>
    </nc>
  </rcc>
  <rcc rId="3805" sId="1" numFmtId="4">
    <nc r="F47">
      <v>3208.2</v>
    </nc>
  </rcc>
  <rrc rId="3806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7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8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9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10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11" sId="1" numFmtId="4">
    <nc r="F48">
      <v>125</v>
    </nc>
  </rcc>
  <rcc rId="3812" sId="1">
    <oc r="F45">
      <f>SUM(F46:F48)</f>
    </oc>
    <nc r="F45">
      <f>SUM(F46:F48)</f>
    </nc>
  </rcc>
  <rrc rId="3813" sId="1" ref="A59:XFD59" action="deleteRow">
    <rfmt sheetId="1" xfDxf="1" sqref="A59:XFD59" start="0" length="0">
      <dxf>
        <font>
          <i/>
          <name val="Times New Roman CYR"/>
          <family val="1"/>
        </font>
        <alignment wrapText="1"/>
      </dxf>
    </rfmt>
    <rcc rId="0" sId="1" dxf="1">
      <nc r="A59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14" sId="1" numFmtId="4">
    <nc r="F58">
      <v>4920.6000000000004</v>
    </nc>
  </rcc>
  <rcc rId="3815" sId="1" numFmtId="4">
    <nc r="F59">
      <v>1486</v>
    </nc>
  </rcc>
  <rcc rId="3816" sId="1" numFmtId="4">
    <nc r="F60">
      <v>100</v>
    </nc>
  </rcc>
  <rcc rId="3817" sId="1" numFmtId="4">
    <nc r="F61">
      <v>100</v>
    </nc>
  </rcc>
  <rcc rId="3818" sId="1" numFmtId="4">
    <nc r="F69">
      <v>400</v>
    </nc>
  </rcc>
  <rcc rId="3819" sId="1" numFmtId="4">
    <nc r="F74">
      <v>50</v>
    </nc>
  </rcc>
  <rcc rId="3820" sId="1">
    <oc r="F77">
      <f>208</f>
    </oc>
    <nc r="F77">
      <f>208+208</f>
    </nc>
  </rcc>
  <rcc rId="3821" sId="1" numFmtId="4">
    <nc r="F80">
      <v>50</v>
    </nc>
  </rcc>
  <rrc rId="3822" sId="1" ref="A86:XFD86" action="deleteRow">
    <rfmt sheetId="1" xfDxf="1" sqref="A86:XFD86" start="0" length="0">
      <dxf>
        <font>
          <name val="Times New Roman CYR"/>
          <family val="1"/>
        </font>
        <alignment wrapText="1"/>
      </dxf>
    </rfmt>
    <rcc rId="0" sId="1" dxf="1">
      <nc r="A86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23" sId="1" numFmtId="4">
    <nc r="F85">
      <v>4289.7</v>
    </nc>
  </rcc>
  <rcc rId="3824" sId="1" numFmtId="4">
    <nc r="F86">
      <v>1295.5</v>
    </nc>
  </rcc>
  <rcc rId="3825" sId="1" numFmtId="4">
    <nc r="F88">
      <v>50</v>
    </nc>
  </rcc>
  <rcc rId="3826" sId="1" numFmtId="4">
    <nc r="F89">
      <v>50</v>
    </nc>
  </rcc>
  <rcc rId="3827" sId="1" numFmtId="4">
    <nc r="F92">
      <v>50</v>
    </nc>
  </rcc>
  <rrc rId="3828" sId="1" ref="A97:XFD97" action="insertRow"/>
  <rfmt sheetId="1" sqref="A9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829" sId="1">
    <nc r="B97" t="inlineStr">
      <is>
        <t>01</t>
      </is>
    </nc>
  </rcc>
  <rcc rId="3830" sId="1">
    <nc r="C97" t="inlineStr">
      <is>
        <t>13</t>
      </is>
    </nc>
  </rcc>
  <rcc rId="3831" sId="1">
    <nc r="D97" t="inlineStr">
      <is>
        <t>05001 82900</t>
      </is>
    </nc>
  </rcc>
  <rcc rId="3832" sId="1">
    <nc r="E97" t="inlineStr">
      <is>
        <t>853</t>
      </is>
    </nc>
  </rcc>
  <rcc rId="3833" sId="1" numFmtId="4">
    <nc r="F97">
      <v>10</v>
    </nc>
  </rcc>
  <rcc rId="3834" sId="1" numFmtId="4">
    <nc r="F96">
      <v>125</v>
    </nc>
  </rcc>
  <rcc rId="3835" sId="1">
    <oc r="F95">
      <f>F96</f>
    </oc>
    <nc r="F95">
      <f>SUM(F96:F97)</f>
    </nc>
  </rcc>
  <rcc rId="3836" sId="1" odxf="1" dxf="1">
    <nc r="A97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  <rcc rId="3837" sId="1" numFmtId="4">
    <oc r="F101">
      <v>0</v>
    </oc>
    <nc r="F101">
      <v>180</v>
    </nc>
  </rcc>
  <rcc rId="3838" sId="1" numFmtId="4">
    <oc r="F105">
      <v>0</v>
    </oc>
    <nc r="F105">
      <v>200</v>
    </nc>
  </rcc>
  <rrc rId="3839" sId="1" ref="A127:XFD127" action="deleteRow">
    <undo index="65535" exp="ref" v="1" dr="F127" r="F106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7">
        <f>F128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4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41" sId="1">
    <oc r="F106">
      <f>F107+F112+F117+F122+F127+#REF!+F129+F140+F110</f>
    </oc>
    <nc r="F106">
      <f>F107+F112+F117+F122+F127+F129+F140+F110</f>
    </nc>
  </rcc>
  <rcc rId="3842" sId="1">
    <nc r="F128">
      <f>1975.5+596.6+42.3</f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43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4" sId="1" ref="A133:XFD133" action="deleteRow">
    <rfmt sheetId="1" xfDxf="1" sqref="A133:XFD133" start="0" length="0">
      <dxf>
        <font>
          <name val="Times New Roman CYR"/>
          <family val="1"/>
        </font>
        <alignment wrapText="1"/>
      </dxf>
    </rfmt>
    <rcc rId="0" sId="1" dxf="1">
      <nc r="A133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3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5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6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7" sId="1" ref="A135:XFD135" action="deleteRow">
    <undo index="65535" exp="area" dr="F131:F135" r="F130" sId="1"/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48" sId="1" numFmtId="4">
    <nc r="F131">
      <v>13758.4</v>
    </nc>
  </rcc>
  <rcc rId="3849" sId="1" numFmtId="4">
    <nc r="F132">
      <v>4155</v>
    </nc>
  </rcc>
  <rcc rId="3850" sId="1" numFmtId="4">
    <nc r="F133">
      <v>60</v>
    </nc>
  </rcc>
  <rcc rId="3851" sId="1">
    <nc r="F134">
      <f>948+318</f>
    </nc>
  </rcc>
  <rcc rId="3852" sId="1" numFmtId="4">
    <oc r="F136">
      <v>0</v>
    </oc>
    <nc r="F136">
      <f>1207.2</f>
    </nc>
  </rcc>
  <rcc rId="3853" sId="1" numFmtId="4">
    <nc r="F142">
      <v>1000</v>
    </nc>
  </rcc>
  <rcc rId="3854" sId="1" numFmtId="4">
    <oc r="F148">
      <v>0</v>
    </oc>
    <nc r="F148"/>
  </rcc>
  <rrc rId="3855" sId="1" ref="A145:XFD145" action="deleteRow">
    <undo index="65535" exp="ref" v="1" dr="F145" r="F144" sId="1"/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145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56" sId="1" ref="A145:XFD145" action="deleteRow"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 xml:space="preserve">01005 00000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57" sId="1" ref="A145:XFD145" action="deleteRow">
    <rfmt sheetId="1" xfDxf="1" sqref="A145:XFD145" start="0" length="0">
      <dxf>
        <font>
          <i/>
          <name val="Times New Roman CYR"/>
          <family val="1"/>
        </font>
        <alignment wrapText="1"/>
      </dxf>
    </rfmt>
    <rcc rId="0" sId="1" dxf="1">
      <nc r="A145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45" start="0" length="0">
      <dxf>
        <numFmt numFmtId="165" formatCode="0.00000"/>
      </dxf>
    </rfmt>
  </rrc>
  <rrc rId="3858" sId="1" ref="A145:XFD145" action="deleteRow"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59" sId="1">
    <oc r="F144">
      <f>F145+F149+#REF!</f>
    </oc>
    <nc r="F144">
      <f>F145+F149</f>
    </nc>
  </rcc>
  <rcc rId="3860" sId="1" numFmtId="4">
    <oc r="F148">
      <v>0</v>
    </oc>
    <nc r="F148">
      <v>50</v>
    </nc>
  </rcc>
  <rrc rId="3861" sId="1" ref="A168:XFD168" action="deleteRow">
    <rfmt sheetId="1" xfDxf="1" sqref="A168:XFD168" start="0" length="0">
      <dxf>
        <font>
          <name val="Times New Roman CYR"/>
          <family val="1"/>
        </font>
        <alignment wrapText="1"/>
      </dxf>
    </rfmt>
    <rcc rId="0" sId="1" dxf="1">
      <nc r="A168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8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62" sId="1" numFmtId="4">
    <nc r="F167">
      <v>1379.3</v>
    </nc>
  </rcc>
  <rcc rId="3863" sId="1" numFmtId="4">
    <nc r="F168">
      <v>416.5</v>
    </nc>
  </rcc>
  <rcc rId="3864" sId="1" numFmtId="4">
    <nc r="F169">
      <v>20</v>
    </nc>
  </rcc>
  <rcc rId="3865" sId="1" numFmtId="4">
    <nc r="F170">
      <v>30</v>
    </nc>
  </rcc>
  <rcc rId="3866" sId="1" numFmtId="4">
    <nc r="F188">
      <v>50</v>
    </nc>
  </rcc>
  <rcc rId="3867" sId="1">
    <oc r="F190">
      <f>367.6</f>
    </oc>
    <nc r="F190">
      <f>367.6+19.4</f>
    </nc>
  </rcc>
  <rcc rId="3868" sId="1">
    <oc r="F192">
      <f>200</f>
    </oc>
    <nc r="F192">
      <f>200+50</f>
    </nc>
  </rcc>
  <rcc rId="3869" sId="1" numFmtId="4">
    <nc r="F197">
      <v>30</v>
    </nc>
  </rcc>
  <rcc rId="3870" sId="1">
    <oc r="F201">
      <f>400</f>
    </oc>
    <nc r="F201">
      <f>400+430</f>
    </nc>
  </rcc>
  <rcc rId="3871" sId="1" numFmtId="4">
    <nc r="F205">
      <v>181</v>
    </nc>
  </rcc>
  <rcc rId="3872" sId="1" numFmtId="4">
    <nc r="F214">
      <v>150</v>
    </nc>
  </rcc>
  <rcc rId="3873" sId="1">
    <oc r="F224">
      <f>14180+283.6</f>
    </oc>
    <nc r="F224">
      <f>14180+283.6+14.5</f>
    </nc>
  </rcc>
  <rcc rId="3874" sId="1">
    <nc r="F219">
      <f>700.32</f>
    </nc>
  </rcc>
  <rfmt sheetId="1" sqref="F219">
    <dxf>
      <fill>
        <patternFill patternType="solid">
          <bgColor rgb="FFFFFF00"/>
        </patternFill>
      </fill>
    </dxf>
  </rfmt>
  <rcc rId="3875" sId="1">
    <nc r="F239">
      <f>55045.8+16623.8+13536.3+1849.2+364.2</f>
    </nc>
  </rcc>
  <rrc rId="3876" sId="1" ref="A250:XFD250" action="deleteRow">
    <undo index="65535" exp="ref" v="1" dr="F250" r="F243" sId="1"/>
    <rfmt sheetId="1" xfDxf="1" sqref="A250:XFD250" start="0" length="0">
      <dxf>
        <font>
          <i/>
          <name val="Times New Roman CYR"/>
          <family val="1"/>
        </font>
        <alignment wrapText="1"/>
      </dxf>
    </rfmt>
    <rcc rId="0" sId="1" dxf="1">
      <nc r="A250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0">
        <f>F251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77" sId="1" ref="A250:XFD250" action="deleteRow">
    <rfmt sheetId="1" xfDxf="1" sqref="A250:XFD250" start="0" length="0">
      <dxf>
        <font>
          <i/>
          <name val="Times New Roman CYR"/>
          <family val="1"/>
        </font>
        <alignment wrapText="1"/>
      </dxf>
    </rfmt>
    <rcc rId="0" sId="1" dxf="1">
      <nc r="A25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78" sId="1">
    <oc r="F243">
      <f>F246+F248+F250+F257+F255+F245+F253+F259+#REF!</f>
    </oc>
    <nc r="F243">
      <f>F246+F248+F250+F257+F255+F245+F253+F259</f>
    </nc>
  </rcc>
  <rrc rId="3879" sId="1" ref="A252:XFD252" action="deleteRow">
    <undo index="65535" exp="area" dr="F251:F252" r="F250" sId="1"/>
    <rfmt sheetId="1" xfDxf="1" sqref="A252:XFD252" start="0" length="0">
      <dxf>
        <font>
          <name val="Times New Roman CYR"/>
          <family val="1"/>
        </font>
        <alignment wrapText="1"/>
      </dxf>
    </rfmt>
    <rcc rId="0" sId="1" dxf="1">
      <nc r="A25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2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80" sId="1">
    <nc r="F251">
      <f>32512.2+318.3+4176+435</f>
    </nc>
  </rcc>
  <rcc rId="3881" sId="1">
    <oc r="F253">
      <f>29257.6</f>
    </oc>
    <nc r="F253">
      <f>29257.6+300</f>
    </nc>
  </rcc>
  <rcc rId="3882" sId="1">
    <oc r="F259">
      <f>482.5</f>
    </oc>
    <nc r="F259">
      <f>482.5+10</f>
    </nc>
  </rcc>
  <rcc rId="3883" sId="1">
    <oc r="F257">
      <f>12321.9</f>
    </oc>
    <nc r="F257">
      <f>12321.9+12500</f>
    </nc>
  </rcc>
  <rcc rId="3884" sId="1" numFmtId="4">
    <oc r="F265">
      <v>8280</v>
    </oc>
    <nc r="F265">
      <f>8280+880.2</f>
    </nc>
  </rcc>
  <rrc rId="3885" sId="1" ref="A266:XFD266" action="deleteRow">
    <undo index="65535" exp="ref" v="1" dr="F266" r="F240" sId="1"/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6">
        <f>F267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86" sId="1" ref="A266:XFD266" action="deleteRow"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6">
        <f>F267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87" sId="1" ref="A266:XFD266" action="deleteRow"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99900 82900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6" t="inlineStr">
        <is>
          <t>414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88" sId="1">
    <oc r="F240">
      <f>F241+#REF!</f>
    </oc>
    <nc r="F240">
      <f>F241</f>
    </nc>
  </rcc>
  <rcc rId="3889" sId="1" numFmtId="4">
    <nc r="F262">
      <v>255.2</v>
    </nc>
  </rcc>
  <rcc rId="3890" sId="1">
    <oc r="F255">
      <f>105982.8</f>
    </oc>
    <nc r="F255">
      <f>105982.8+5715.8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1" sId="1">
    <nc r="F278">
      <f>100</f>
    </nc>
  </rcc>
  <rcc rId="3892" sId="1" odxf="1" dxf="1">
    <nc r="F279">
      <f>574.5</f>
    </nc>
    <odxf>
      <font>
        <name val="Times New Roman"/>
        <family val="1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name val="Times New Roman CYR"/>
        <family val="1"/>
      </font>
      <fill>
        <patternFill patternType="none">
          <bgColor indexed="65"/>
        </patternFill>
      </fill>
      <border outline="0">
        <left/>
        <right/>
        <top/>
        <bottom/>
      </border>
    </ndxf>
  </rcc>
  <rcc rId="3893" sId="1">
    <oc r="F281">
      <f>10159.152</f>
    </oc>
    <nc r="F281">
      <f>10159.152+12754.7</f>
    </nc>
  </rcc>
  <rcc rId="3894" sId="1">
    <oc r="F282">
      <f>32170.648</f>
    </oc>
    <nc r="F282">
      <f>32170.648+20925.4</f>
    </nc>
  </rcc>
  <rcc rId="3895" sId="1">
    <oc r="F292">
      <f>386</f>
    </oc>
    <nc r="F292">
      <f>386+7.7</f>
    </nc>
  </rcc>
  <rrc rId="3896" sId="1" ref="A308:XFD308" action="deleteRow">
    <undo index="65535" exp="area" dr="F307:F308" r="F306" sId="1"/>
    <rfmt sheetId="1" xfDxf="1" sqref="A308:XFD308" start="0" length="0">
      <dxf>
        <font>
          <i/>
          <name val="Times New Roman CYR"/>
          <family val="1"/>
        </font>
        <alignment wrapText="1"/>
      </dxf>
    </rfmt>
    <rcc rId="0" sId="1" dxf="1">
      <nc r="A308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8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97" sId="1" ref="A310:XFD310" action="deleteRow">
    <undo index="65535" exp="area" dr="F309:F310" r="F308" sId="1"/>
    <rfmt sheetId="1" xfDxf="1" sqref="A310:XFD310" start="0" length="0">
      <dxf>
        <font>
          <i/>
          <name val="Times New Roman CYR"/>
          <family val="1"/>
        </font>
        <alignment wrapText="1"/>
      </dxf>
    </rfmt>
    <rcc rId="0" sId="1" dxf="1">
      <nc r="A310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0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98" sId="1" numFmtId="4">
    <nc r="F325">
      <v>611.6</v>
    </nc>
  </rcc>
  <rcc rId="3899" sId="1" numFmtId="4">
    <nc r="F326">
      <v>218.7</v>
    </nc>
  </rcc>
  <rcc rId="3900" sId="1" numFmtId="4">
    <nc r="F328">
      <v>20822.5</v>
    </nc>
  </rcc>
  <rcc rId="3901" sId="1" numFmtId="4">
    <nc r="F329">
      <v>6288.3</v>
    </nc>
  </rcc>
  <rcc rId="3902" sId="1" numFmtId="4">
    <nc r="F330">
      <v>50</v>
    </nc>
  </rcc>
  <rcc rId="3903" sId="1" numFmtId="4">
    <nc r="F331">
      <v>8.3000000000000007</v>
    </nc>
  </rcc>
  <rcc rId="3904" sId="1" numFmtId="4">
    <nc r="F332">
      <v>505.2</v>
    </nc>
  </rcc>
  <rrc rId="3905" sId="1" ref="A333:XFD333" action="deleteRow">
    <rfmt sheetId="1" xfDxf="1" sqref="A333:XFD333" start="0" length="0">
      <dxf>
        <font>
          <name val="Times New Roman CYR"/>
          <family val="1"/>
        </font>
        <alignment wrapText="1"/>
      </dxf>
    </rfmt>
    <rcc rId="0" sId="1" dxf="1">
      <nc r="A33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06" sId="1" ref="A333:XFD333" action="deleteRow">
    <undo index="65535" exp="area" dr="F328:F333" r="F327" sId="1"/>
    <rfmt sheetId="1" xfDxf="1" sqref="A333:XFD333" start="0" length="0">
      <dxf>
        <font>
          <name val="Times New Roman CYR"/>
          <family val="1"/>
        </font>
        <alignment wrapText="1"/>
      </dxf>
    </rfmt>
    <rcc rId="0" sId="1" dxf="1">
      <nc r="A33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07" sId="1">
    <oc r="F327">
      <f>SUM(F328:F332)</f>
    </oc>
    <nc r="F327">
      <f>SUM(F328:F332)</f>
    </nc>
  </rcc>
  <rcc rId="3908" sId="1" numFmtId="4">
    <nc r="F286">
      <v>105.6</v>
    </nc>
  </rcc>
  <rcc rId="3909" sId="1" numFmtId="4">
    <nc r="F336">
      <v>200</v>
    </nc>
  </rcc>
  <rcc rId="3910" sId="1" numFmtId="4">
    <nc r="F339">
      <v>98</v>
    </nc>
  </rcc>
  <rcc rId="3911" sId="1" numFmtId="4">
    <nc r="F346">
      <v>200</v>
    </nc>
  </rcc>
  <rcc rId="3912" sId="1" numFmtId="4">
    <nc r="F347">
      <v>60</v>
    </nc>
  </rcc>
  <rcc rId="3913" sId="1" numFmtId="4">
    <nc r="F343">
      <v>100</v>
    </nc>
  </rcc>
  <rcc rId="3914" sId="1" odxf="1" dxf="1">
    <oc r="A343" t="inlineStr">
      <is>
        <t>Премии и гранты</t>
      </is>
    </oc>
    <nc r="A34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1" sId="1" ref="A274:XFD274" action="insertRow"/>
  <rrc rId="782" sId="1" ref="A274:XFD274" action="insertRow"/>
  <rrc rId="783" sId="1" ref="A274:XFD274" action="insertRow"/>
  <rcc rId="784" sId="1" odxf="1" dxf="1">
    <nc r="A274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785" sId="1" odxf="1" dxf="1">
    <nc r="A275" t="inlineStr">
      <is>
        <t>Расходы, связанные с выполнением деятельности учреждений образования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786" sId="1">
    <nc r="A276" t="inlineStr">
      <is>
        <t>Субсидии бюджетным учреждениям на иные цели</t>
      </is>
    </nc>
  </rcc>
  <rcc rId="787" sId="1" odxf="1" dxf="1">
    <nc r="D274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8" sId="1" odxf="1" dxf="1">
    <nc r="D275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9" sId="1">
    <nc r="D276" t="inlineStr">
      <is>
        <t>10202 83060</t>
      </is>
    </nc>
  </rcc>
  <rcc rId="790" sId="1">
    <nc r="E276" t="inlineStr">
      <is>
        <t>612</t>
      </is>
    </nc>
  </rcc>
  <rcc rId="791" sId="1">
    <nc r="B274" t="inlineStr">
      <is>
        <t>07</t>
      </is>
    </nc>
  </rcc>
  <rcc rId="792" sId="1">
    <nc r="C274" t="inlineStr">
      <is>
        <t>02</t>
      </is>
    </nc>
  </rcc>
  <rcc rId="793" sId="1">
    <nc r="B275" t="inlineStr">
      <is>
        <t>07</t>
      </is>
    </nc>
  </rcc>
  <rcc rId="794" sId="1">
    <nc r="C275" t="inlineStr">
      <is>
        <t>02</t>
      </is>
    </nc>
  </rcc>
  <rcc rId="795" sId="1">
    <nc r="B276" t="inlineStr">
      <is>
        <t>07</t>
      </is>
    </nc>
  </rcc>
  <rcc rId="796" sId="1">
    <nc r="C276" t="inlineStr">
      <is>
        <t>02</t>
      </is>
    </nc>
  </rcc>
  <rcc rId="797" sId="1">
    <nc r="F274">
      <f>F275</f>
    </nc>
  </rcc>
  <rcc rId="798" sId="1">
    <nc r="F275">
      <f>F276</f>
    </nc>
  </rcc>
  <rcc rId="799" sId="1" numFmtId="4">
    <nc r="F276">
      <v>255.2</v>
    </nc>
  </rcc>
  <rcc rId="800" sId="1" numFmtId="4">
    <oc r="F265">
      <v>255.2</v>
    </oc>
    <nc r="F265">
      <v>0</v>
    </nc>
  </rcc>
  <rcc rId="801" sId="1">
    <oc r="F251">
      <f>F252+F277</f>
    </oc>
    <nc r="F251">
      <f>F252+F277+F274</f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5" sId="1" numFmtId="4">
    <nc r="F414">
      <v>2423.6999999999998</v>
    </nc>
  </rcc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6" sId="1">
    <nc r="F511">
      <f>196572.19+1205556-5960.8</f>
    </nc>
  </rcc>
  <rcc rId="3917" sId="1">
    <nc r="F512">
      <f>F504-F511</f>
    </nc>
  </rcc>
  <rrc rId="3918" sId="1" ref="A81:XFD81" action="insertRow"/>
  <rrc rId="3919" sId="1" ref="A82:XFD82" action="insertRow"/>
  <rrc rId="3920" sId="1" ref="A82:XFD82" action="insertRow"/>
  <rrc rId="3921" sId="1" ref="A81:XFD81" action="insertRow"/>
  <rcc rId="3922" sId="1" odxf="1" dxf="1">
    <nc r="A8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alignment horizontal="general"/>
      <border outline="0">
        <left/>
        <right/>
        <top/>
        <bottom/>
      </border>
    </ndxf>
  </rcc>
  <rcc rId="3923" sId="1" odxf="1" dxf="1">
    <nc r="A8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3924" sId="1" odxf="1" dxf="1">
    <nc r="A8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3925" sId="1">
    <nc r="A84" t="inlineStr">
      <is>
        <t>Закупка товаров, работ и услуг для государственных (муниципальных) нужд</t>
      </is>
    </nc>
  </rcc>
  <rcc rId="3926" sId="1" odxf="1" dxf="1">
    <nc r="B8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7" sId="1" odxf="1" dxf="1">
    <nc r="C8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8" sId="1" odxf="1" dxf="1">
    <nc r="D8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81" start="0" length="0">
    <dxf>
      <font>
        <b/>
        <name val="Times New Roman"/>
        <family val="1"/>
      </font>
    </dxf>
  </rfmt>
  <rcc rId="3929" sId="1" odxf="1" dxf="1">
    <nc r="F81">
      <f>F82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30" sId="1" odxf="1" dxf="1">
    <nc r="B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1" sId="1" odxf="1" dxf="1">
    <nc r="C8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2" sId="1" odxf="1" dxf="1">
    <nc r="D8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2" start="0" length="0">
    <dxf>
      <font>
        <i/>
        <name val="Times New Roman"/>
        <family val="1"/>
      </font>
    </dxf>
  </rfmt>
  <rcc rId="3933" sId="1" odxf="1" dxf="1">
    <nc r="F82">
      <f>F83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4" sId="1" odxf="1" dxf="1">
    <nc r="B8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5" sId="1" odxf="1" dxf="1">
    <nc r="C8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6" sId="1" odxf="1" dxf="1">
    <nc r="D8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3" start="0" length="0">
    <dxf>
      <font>
        <i/>
        <name val="Times New Roman"/>
        <family val="1"/>
      </font>
    </dxf>
  </rfmt>
  <rcc rId="3937" sId="1" odxf="1" dxf="1">
    <nc r="F83">
      <f>F84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8" sId="1">
    <nc r="B84" t="inlineStr">
      <is>
        <t>01</t>
      </is>
    </nc>
  </rcc>
  <rcc rId="3939" sId="1">
    <nc r="C84" t="inlineStr">
      <is>
        <t>13</t>
      </is>
    </nc>
  </rcc>
  <rcc rId="3940" sId="1">
    <nc r="D84" t="inlineStr">
      <is>
        <t>03001 82900</t>
      </is>
    </nc>
  </rcc>
  <rcc rId="3941" sId="1">
    <nc r="E84" t="inlineStr">
      <is>
        <t>244</t>
      </is>
    </nc>
  </rcc>
  <rcc rId="3942" sId="1" numFmtId="4">
    <nc r="F84">
      <v>300</v>
    </nc>
  </rcc>
  <rcc rId="3943" sId="1">
    <oc r="F70">
      <f>F71+F85+F97+F102+F106+F110</f>
    </oc>
    <nc r="F70">
      <f>F71+F85+F97+F102+F106+F110+F81</f>
    </nc>
  </rcc>
  <rcc rId="3944" sId="1" numFmtId="4">
    <oc r="F109">
      <v>200</v>
    </oc>
    <nc r="F109">
      <v>250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функцион.структура!$A$1:$F$508</formula>
    <oldFormula>функцион.структура!$A$1:$F$508</oldFormula>
  </rdn>
  <rdn rId="0" localSheetId="1" customView="1" name="Z_629918FE_B1DF_464A_BF50_03D18729BC02_.wvu.FilterData" hidden="1" oldHidden="1">
    <formula>функцион.структура!$A$20:$F$515</formula>
    <oldFormula>функцион.структура!$A$20:$F$515</oldFormula>
  </rdn>
  <rcv guid="{629918FE-B1DF-464A-BF50-03D18729BC02}" action="add"/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7" sId="1" numFmtId="4">
    <nc r="F412">
      <v>151</v>
    </nc>
  </rcc>
  <rcc rId="3948" sId="1">
    <oc r="F460">
      <f>676.8+1954.41+517.25</f>
    </oc>
    <nc r="F460">
      <f>676.8+1954.4+517.3</f>
    </nc>
  </rcc>
  <rcc rId="3949" sId="1">
    <oc r="F461">
      <f>204.4+590.22+156.21</f>
    </oc>
    <nc r="F461">
      <f>204.4+590.2+156.2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0" sId="1" numFmtId="4">
    <nc r="F378">
      <v>150</v>
    </nc>
  </rcc>
  <rcc rId="3951" sId="1" numFmtId="4">
    <nc r="F406">
      <v>50</v>
    </nc>
  </rcc>
  <rcc rId="3952" sId="1" numFmtId="4">
    <nc r="F407">
      <v>50</v>
    </nc>
  </rcc>
  <rcc rId="3953" sId="1" numFmtId="4">
    <nc r="F456">
      <v>150</v>
    </nc>
  </rcc>
  <rcc rId="3954" sId="1" numFmtId="4">
    <nc r="F495">
      <v>50</v>
    </nc>
  </rcc>
  <rcc rId="3955" sId="1" numFmtId="4">
    <nc r="F496">
      <v>50</v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6" sId="1" odxf="1" dxf="1">
    <oc r="F515">
      <f>196572.19+1205556-5960.8</f>
    </oc>
    <nc r="F515">
      <f>196572.19+1205556-5960.8+84+2336.9+308.9</f>
    </nc>
    <odxf>
      <numFmt numFmtId="165" formatCode="0.00000"/>
    </odxf>
    <ndxf>
      <numFmt numFmtId="4" formatCode="#,##0.00"/>
    </ndxf>
  </rcc>
  <rcc rId="3957" sId="1" numFmtId="4">
    <oc r="F96">
      <v>50</v>
    </oc>
    <nc r="F96">
      <v>200</v>
    </nc>
  </rcc>
  <rcc rId="3958" sId="1" numFmtId="4">
    <oc r="F173">
      <v>20</v>
    </oc>
    <nc r="F173">
      <v>17.3</v>
    </nc>
  </rcc>
  <rcc rId="3959" sId="1" numFmtId="4">
    <oc r="F174">
      <v>30</v>
    </oc>
    <nc r="F174">
      <v>50</v>
    </nc>
  </rcc>
  <rcc rId="3960" sId="1">
    <oc r="F170">
      <f>SUM(F171:F174)</f>
    </oc>
    <nc r="F170">
      <f>SUM(F171:F174)</f>
    </nc>
  </rcc>
  <rrc rId="3961" sId="1" ref="A359:XFD359" action="deleteRow">
    <undo index="65535" exp="ref" v="1" dr="F359" r="F356" sId="1"/>
    <rfmt sheetId="1" xfDxf="1" sqref="A359:XFD359" start="0" length="0">
      <dxf>
        <font>
          <name val="Times New Roman CYR"/>
          <family val="1"/>
        </font>
        <alignment wrapText="1"/>
      </dxf>
    </rfmt>
    <rcc rId="0" sId="1" dxf="1">
      <nc r="A359" t="inlineStr">
        <is>
          <t>На поддержку отрасли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9">
        <f>F360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2" sId="1" ref="A359:XFD359" action="deleteRow">
    <rfmt sheetId="1" xfDxf="1" sqref="A359:XFD359" start="0" length="0">
      <dxf>
        <font>
          <name val="Times New Roman CYR"/>
          <family val="1"/>
        </font>
        <alignment wrapText="1"/>
      </dxf>
    </rfmt>
    <rcc rId="0" sId="1" dxf="1">
      <nc r="A35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63" sId="1">
    <oc r="F356">
      <f>F359+F357+#REF!</f>
    </oc>
    <nc r="F356">
      <f>F359+F357</f>
    </nc>
  </rcc>
  <rrc rId="3964" sId="1" ref="A365:XFD365" action="deleteRow">
    <undo index="65535" exp="area" dr="F364:F365" r="F363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65" sId="1" ref="A365:XFD365" action="deleteRow">
    <undo index="65535" exp="ref" v="1" dr="F365" r="F362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5">
        <f>F366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6" sId="1" ref="A365:XFD365" action="deleteRow"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67" sId="1">
    <oc r="F362">
      <f>F365+F363+#REF!</f>
    </oc>
    <nc r="F362">
      <f>F365+F363</f>
    </nc>
  </rcc>
  <rrc rId="3968" sId="1" ref="A367:XFD367" action="deleteRow">
    <undo index="65535" exp="ref" v="1" dr="F367" r="F361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Создание виртуальных концертных залов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082A3 54530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7">
        <f>F368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9" sId="1" ref="A367:XFD367" action="deleteRow"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082A3 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70" sId="1">
    <oc r="F361">
      <f>F362+#REF!</f>
    </oc>
    <nc r="F361">
      <f>F362</f>
    </nc>
  </rcc>
  <rrc rId="3971" sId="1" ref="A370:XFD370" action="deleteRow">
    <undo index="65535" exp="area" dr="F370:F372" r="F369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2" sId="1" ref="A371:XFD371" action="deleteRow">
    <undo index="65535" exp="area" dr="F370:F371" r="F369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3" sId="1" ref="A371:XFD371" action="deleteRow">
    <undo index="65535" exp="ref" v="1" dr="F371" r="F367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084A1 55130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SUM(F372)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4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Иные межбюджетные трансфетры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5" sId="1" ref="A371:XFD371" action="deleteRow">
    <undo index="65535" exp="ref" v="1" dr="F371" r="F367" sId="1"/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6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77" sId="1">
    <oc r="F367">
      <f>F368+#REF!+#REF!</f>
    </oc>
    <nc r="F367">
      <f>F368</f>
    </nc>
  </rcc>
  <rrc rId="3978" sId="1" ref="A371:XFD371" action="deleteRow">
    <undo index="65535" exp="ref" v="1" dr="F371" r="F353" sId="1"/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9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0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F372+F373+F374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1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Премии и гранты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350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2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3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84" sId="1">
    <oc r="F353">
      <f>F354+F371+#REF!</f>
    </oc>
    <nc r="F353">
      <f>F354+F371</f>
    </nc>
  </rcc>
  <rrc rId="3985" sId="1" ref="A372:XFD372" action="deleteRow">
    <undo index="0" exp="ref" v="1" dr="F372" r="F371" sId="1"/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F373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6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87" sId="1">
    <oc r="F371">
      <f>#REF!+F372</f>
    </oc>
    <nc r="F371">
      <f>F372</f>
    </nc>
  </rcc>
  <rrc rId="3988" sId="1" ref="A383:XFD383" action="deleteRow">
    <rfmt sheetId="1" xfDxf="1" sqref="A383:XFD383" start="0" length="0">
      <dxf>
        <font>
          <name val="Times New Roman CYR"/>
          <family val="1"/>
        </font>
        <alignment wrapText="1"/>
      </dxf>
    </rfmt>
    <rcc rId="0" sId="1" dxf="1">
      <nc r="A383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3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9" sId="1" ref="A386:XFD386" action="deleteRow">
    <undo index="65535" exp="area" dr="F382:F386" r="F381" sId="1"/>
    <rfmt sheetId="1" xfDxf="1" sqref="A386:XFD386" start="0" length="0">
      <dxf>
        <font>
          <name val="Times New Roman CYR"/>
          <family val="1"/>
        </font>
        <alignment wrapText="1"/>
      </dxf>
    </rfmt>
    <rcc rId="0" sId="1" dxf="1">
      <nc r="A386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0" sId="1" ref="A432:XFD432" action="deleteRow">
    <undo index="65535" exp="area" dr="F432:F434" r="F431" sId="1"/>
    <rfmt sheetId="1" xfDxf="1" sqref="A432:XFD432" start="0" length="0">
      <dxf>
        <font>
          <name val="Times New Roman CYR"/>
          <family val="1"/>
        </font>
        <alignment wrapText="1"/>
      </dxf>
    </rfmt>
    <rcc rId="0" sId="1" dxf="1">
      <nc r="A432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2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1" sId="1" ref="A433:XFD433" action="deleteRow">
    <undo index="65535" exp="area" dr="F432:F433" r="F431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2" sId="1" ref="A437:XFD437" action="deleteRow">
    <undo index="65535" exp="ref" v="1" dr="F437" r="F428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3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family val="1"/>
        </font>
        <alignment horizontal="justify" vertical="center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F438+F441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family val="1"/>
        </font>
      </ndxf>
    </rcc>
    <rcc rId="0" sId="1" dxf="1">
      <nc r="B437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F438+F439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465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6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7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8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99" sId="1">
    <oc r="F428">
      <f>F429+F433+#REF!</f>
    </oc>
    <nc r="F428">
      <f>F429+F433</f>
    </nc>
  </rcc>
  <rrc rId="4000" sId="1" ref="A437:XFD437" action="deleteRow">
    <undo index="65535" exp="ref" v="1" dr="F437" r="F427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1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2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03" sId="1">
    <oc r="F427">
      <f>F428+#REF!</f>
    </oc>
    <nc r="F427">
      <f>F428</f>
    </nc>
  </rcc>
  <rrc rId="4004" sId="1" ref="A443:XFD443" action="deleteRow">
    <undo index="65535" exp="area" dr="F442:F443" r="F441" sId="1"/>
    <rfmt sheetId="1" xfDxf="1" sqref="A443:XFD443" start="0" length="0">
      <dxf>
        <font>
          <i/>
          <name val="Times New Roman CYR"/>
          <family val="1"/>
        </font>
        <alignment wrapText="1"/>
      </dxf>
    </rfmt>
    <rcc rId="0" sId="1" dxf="1">
      <nc r="A44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3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3" t="inlineStr">
        <is>
          <t>09301 83180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05" sId="1" ref="A445:XFD445" action="deleteRow">
    <undo index="65535" exp="ref" v="1" dr="F445" r="F439" sId="1"/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6" sId="1" ref="A445:XFD445" action="deleteRow"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07" sId="1" ref="A445:XFD445" action="deleteRow">
    <undo index="65535" exp="ref" v="1" dr="F445" r="F439" sId="1"/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8" sId="1" ref="A445:XFD445" action="deleteRow"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09" sId="1">
    <oc r="F439">
      <f>F440+#REF!+#REF!</f>
    </oc>
    <nc r="F439">
      <f>F440</f>
    </nc>
  </rcc>
  <rrc rId="401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11" sId="1" ref="A457:XFD457" action="deleteRow">
    <undo index="65535" exp="area" dr="F453:F457" r="F452" sId="1"/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12" sId="1">
    <nc r="G455">
      <v>50</v>
    </nc>
  </rcc>
  <rcc rId="4013" sId="1">
    <nc r="G456">
      <v>50</v>
    </nc>
  </rcc>
  <rcc rId="4014" sId="1">
    <nc r="G432">
      <v>150</v>
    </nc>
  </rcc>
  <rcc rId="4015" sId="1">
    <nc r="G384">
      <v>50</v>
    </nc>
  </rcc>
  <rcc rId="4016" sId="1">
    <nc r="G385">
      <v>50</v>
    </nc>
  </rcc>
  <rcc rId="4017" sId="1">
    <nc r="G370">
      <v>150</v>
    </nc>
  </rcc>
  <rcc rId="4018" sId="1">
    <nc r="G334">
      <v>50</v>
    </nc>
  </rcc>
  <rcc rId="4019" sId="1">
    <nc r="G296">
      <v>7.7</v>
    </nc>
  </rcc>
  <rcc rId="4020" sId="1">
    <nc r="G282">
      <v>100</v>
    </nc>
  </rcc>
  <rcc rId="4021" sId="1">
    <nc r="G218">
      <v>150</v>
    </nc>
  </rcc>
  <rcc rId="4022" sId="1" numFmtId="4">
    <oc r="F192">
      <v>50</v>
    </oc>
    <nc r="F192">
      <v>150</v>
    </nc>
  </rcc>
  <rcc rId="4023" sId="1">
    <nc r="G192">
      <v>150</v>
    </nc>
  </rcc>
  <rcc rId="4024" sId="1">
    <nc r="G173">
      <v>17.3</v>
    </nc>
  </rcc>
  <rcc rId="4025" sId="1">
    <nc r="G174">
      <v>50</v>
    </nc>
  </rcc>
  <rcc rId="4026" sId="1">
    <nc r="G96">
      <v>200</v>
    </nc>
  </rcc>
  <rcc rId="4027" sId="1">
    <nc r="G93">
      <v>50</v>
    </nc>
  </rcc>
  <rcc rId="4028" sId="1">
    <nc r="G92">
      <v>50</v>
    </nc>
  </rcc>
  <rcc rId="4029" sId="1">
    <nc r="G48">
      <v>125</v>
    </nc>
  </rcc>
  <rcc rId="4030" sId="1">
    <nc r="G466">
      <f>SUM(G21:G465)</f>
    </nc>
  </rcc>
  <rcc rId="4031" sId="1">
    <nc r="G61">
      <v>50</v>
    </nc>
  </rcc>
  <rcc rId="4032" sId="1" numFmtId="4">
    <oc r="F60">
      <v>100</v>
    </oc>
    <nc r="F60">
      <f>121.9+0.34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3" sId="1" numFmtId="4">
    <oc r="F61">
      <v>100</v>
    </oc>
    <nc r="F61">
      <f>50+50</f>
    </nc>
  </rc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>
    <oc r="A222" t="inlineStr">
      <is>
        <t>Прочие мероприятия, связанные с выполнением обязательств органов местного самоуправления</t>
      </is>
    </oc>
    <nc r="A222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cc rId="4035" sId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Иные межбюджетные трансферты</t>
      </is>
    </nc>
  </rcc>
  <rcc rId="4036" sId="1">
    <oc r="D222" t="inlineStr">
      <is>
        <t>99900 82900</t>
      </is>
    </oc>
    <nc r="D222" t="inlineStr">
      <is>
        <t>99900 S2860</t>
      </is>
    </nc>
  </rcc>
  <rcc rId="4037" sId="1">
    <oc r="F222">
      <f>SUM(F223:F223)</f>
    </oc>
    <nc r="F222">
      <f>SUM(F223:F223)</f>
    </nc>
  </rcc>
  <rcc rId="4038" sId="1">
    <oc r="D223" t="inlineStr">
      <is>
        <t>99900 82900</t>
      </is>
    </oc>
    <nc r="D223" t="inlineStr">
      <is>
        <t>99900 S2860</t>
      </is>
    </nc>
  </rcc>
  <rcc rId="4039" sId="1">
    <oc r="E223" t="inlineStr">
      <is>
        <t>244</t>
      </is>
    </oc>
    <nc r="E223" t="inlineStr">
      <is>
        <t>540</t>
      </is>
    </nc>
  </rcc>
  <rcc rId="4040" sId="1" odxf="1" dxf="1">
    <oc r="F223">
      <f>700.32</f>
    </oc>
    <nc r="F223">
      <f>700.32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73" start="0" length="2147483647">
    <dxf>
      <font>
        <b/>
      </font>
    </dxf>
  </rfmt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1" sId="1">
    <oc r="D298" t="inlineStr">
      <is>
        <t>09400 00000</t>
      </is>
    </oc>
    <nc r="D298" t="inlineStr">
      <is>
        <t>09000 00000</t>
      </is>
    </nc>
  </rcc>
  <rcc rId="4042" sId="1">
    <oc r="D299" t="inlineStr">
      <is>
        <t>09401 00000</t>
      </is>
    </oc>
    <nc r="D299" t="inlineStr">
      <is>
        <t>09400 00000</t>
      </is>
    </nc>
  </rcc>
  <rcc rId="4043" sId="1">
    <oc r="D300" t="inlineStr">
      <is>
        <t>09401 83890</t>
      </is>
    </oc>
    <nc r="D300" t="inlineStr">
      <is>
        <t>09401 00000</t>
      </is>
    </nc>
  </rcc>
  <rcc rId="4044" sId="1">
    <oc r="D303" t="inlineStr">
      <is>
        <t>09601 00000</t>
      </is>
    </oc>
    <nc r="D303" t="inlineStr">
      <is>
        <t>09600 00000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oc r="F352">
      <f>4007.81+34.04</f>
    </oc>
    <nc r="F352">
      <f>4007.8+34.04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функцион.структура!$A$1:$F$507</formula>
    <oldFormula>функцион.структура!$A$1:$F$507</oldFormula>
  </rdn>
  <rdn rId="0" localSheetId="1" customView="1" name="Z_629918FE_B1DF_464A_BF50_03D18729BC02_.wvu.FilterData" hidden="1" oldHidden="1">
    <formula>функцион.структура!$A$17:$K$514</formula>
    <oldFormula>функцион.структура!$A$17:$K$514</oldFormula>
  </rdn>
  <rcv guid="{629918FE-B1DF-464A-BF50-03D18729BC02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5:F245" start="0" length="2147483647">
    <dxf>
      <font>
        <b val="0"/>
      </font>
    </dxf>
  </rfmt>
  <rfmt sheetId="1" sqref="A245:F245" start="0" length="2147483647">
    <dxf>
      <font>
        <b/>
      </font>
    </dxf>
  </rfmt>
  <rfmt sheetId="1" sqref="A245:F245" start="0" length="2147483647">
    <dxf>
      <font>
        <i/>
      </font>
    </dxf>
  </rfmt>
  <rfmt sheetId="1" sqref="A245:F245" start="0" length="2147483647">
    <dxf>
      <font>
        <i val="0"/>
      </font>
    </dxf>
  </rfmt>
  <rcc rId="4045" sId="1">
    <oc r="A262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62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6" sId="1">
    <oc r="A256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5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функцион.структура!$A$1:$F$466</formula>
    <oldFormula>функцион.структура!$A$1:$F$466</oldFormula>
  </rdn>
  <rdn rId="0" localSheetId="1" customView="1" name="Z_629918FE_B1DF_464A_BF50_03D18729BC02_.wvu.FilterData" hidden="1" oldHidden="1">
    <formula>функцион.структура!$A$20:$F$473</formula>
    <oldFormula>функцион.структура!$A$20:$F$473</oldFormula>
  </rdn>
  <rcv guid="{629918FE-B1DF-464A-BF50-03D18729BC02}" action="add"/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4" start="0" length="2147483647">
    <dxf>
      <font>
        <i/>
      </font>
    </dxf>
  </rfmt>
  <rcc rId="4049" sId="1" odxf="1" dxf="1">
    <oc r="A258" t="inlineStr">
      <is>
        <t xml:space="preserve">На оплату труда обслуживающего персонала муниципальных общеобразовательных организаций
</t>
      </is>
    </oc>
    <nc r="A258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odxf="1" dxf="1">
    <oc r="A260" t="inlineStr">
      <is>
        <t>Организация горячего питания детей, обучающихся в муниципальных образовательных учреждениях</t>
      </is>
    </oc>
    <nc r="A260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6">
    <dxf>
      <fill>
        <patternFill>
          <bgColor rgb="FFFFFF00"/>
        </patternFill>
      </fill>
    </dxf>
  </rfmt>
  <rfmt sheetId="1" sqref="F304">
    <dxf>
      <fill>
        <patternFill>
          <bgColor rgb="FFFFFF00"/>
        </patternFill>
      </fill>
    </dxf>
  </rfmt>
  <rfmt sheetId="1" sqref="F45">
    <dxf>
      <fill>
        <patternFill>
          <bgColor rgb="FFFFFF00"/>
        </patternFill>
      </fill>
    </dxf>
  </rfmt>
  <rfmt sheetId="1" sqref="F414">
    <dxf>
      <fill>
        <patternFill>
          <bgColor rgb="FFFFFF00"/>
        </patternFill>
      </fill>
    </dxf>
  </rfmt>
  <rfmt sheetId="1" sqref="F409">
    <dxf>
      <fill>
        <patternFill>
          <bgColor rgb="FFFFFF00"/>
        </patternFill>
      </fill>
    </dxf>
  </rfmt>
  <rfmt sheetId="1" sqref="F404">
    <dxf>
      <fill>
        <patternFill>
          <bgColor rgb="FFFFFF00"/>
        </patternFill>
      </fill>
    </dxf>
  </rfmt>
  <rfmt sheetId="1" sqref="F458">
    <dxf>
      <fill>
        <patternFill>
          <bgColor rgb="FFFFFF00"/>
        </patternFill>
      </fill>
    </dxf>
  </rfmt>
  <rfmt sheetId="1" sqref="F319">
    <dxf>
      <fill>
        <patternFill patternType="solid">
          <bgColor rgb="FFFFFF00"/>
        </patternFill>
      </fill>
    </dxf>
  </rfmt>
  <rfmt sheetId="1" sqref="F307">
    <dxf>
      <fill>
        <patternFill patternType="solid">
          <bgColor rgb="FFFFFF00"/>
        </patternFill>
      </fill>
    </dxf>
  </rfmt>
  <rfmt sheetId="1" sqref="F394:F395">
    <dxf>
      <fill>
        <patternFill patternType="solid">
          <bgColor rgb="FFFFFF00"/>
        </patternFill>
      </fill>
    </dxf>
  </rfmt>
  <rfmt sheetId="1" sqref="F241">
    <dxf>
      <fill>
        <patternFill patternType="solid">
          <bgColor rgb="FFFFFF00"/>
        </patternFill>
      </fill>
    </dxf>
  </rfmt>
  <rfmt sheetId="1" sqref="F245">
    <dxf>
      <fill>
        <patternFill patternType="solid">
          <bgColor rgb="FFFFFF00"/>
        </patternFill>
      </fill>
    </dxf>
  </rfmt>
  <rfmt sheetId="1" sqref="F249">
    <dxf>
      <fill>
        <patternFill patternType="solid">
          <bgColor rgb="FFFFFF00"/>
        </patternFill>
      </fill>
    </dxf>
  </rfmt>
  <rfmt sheetId="1" sqref="F253">
    <dxf>
      <fill>
        <patternFill patternType="solid">
          <bgColor rgb="FFFFFF00"/>
        </patternFill>
      </fill>
    </dxf>
  </rfmt>
  <rfmt sheetId="1" sqref="F255">
    <dxf>
      <fill>
        <patternFill patternType="solid">
          <bgColor rgb="FFFFFF00"/>
        </patternFill>
      </fill>
    </dxf>
  </rfmt>
  <rfmt sheetId="1" sqref="F261">
    <dxf>
      <fill>
        <patternFill patternType="solid">
          <bgColor rgb="FFFFFF00"/>
        </patternFill>
      </fill>
    </dxf>
  </rfmt>
  <rfmt sheetId="1" sqref="F278:F279">
    <dxf>
      <fill>
        <patternFill>
          <bgColor rgb="FFFFFF00"/>
        </patternFill>
      </fill>
    </dxf>
  </rfmt>
  <rfmt sheetId="1" sqref="F288">
    <dxf>
      <fill>
        <patternFill patternType="solid">
          <bgColor rgb="FFFFFF00"/>
        </patternFill>
      </fill>
    </dxf>
  </rfmt>
  <rfmt sheetId="1" sqref="F391">
    <dxf>
      <fill>
        <patternFill patternType="solid">
          <bgColor rgb="FFFFFF00"/>
        </patternFill>
      </fill>
    </dxf>
  </rfmt>
  <rfmt sheetId="1" sqref="F233">
    <dxf>
      <fill>
        <patternFill patternType="solid">
          <bgColor rgb="FFFFFF00"/>
        </patternFill>
      </fill>
    </dxf>
  </rfmt>
  <rfmt sheetId="1" sqref="F69">
    <dxf>
      <fill>
        <patternFill patternType="solid">
          <bgColor rgb="FFFFFF00"/>
        </patternFill>
      </fill>
    </dxf>
  </rfmt>
  <rfmt sheetId="1" sqref="F107">
    <dxf>
      <fill>
        <patternFill>
          <bgColor rgb="FFFFFF00"/>
        </patternFill>
      </fill>
    </dxf>
  </rfmt>
  <rfmt sheetId="1" sqref="F109">
    <dxf>
      <fill>
        <patternFill patternType="solid">
          <bgColor rgb="FFFFFF00"/>
        </patternFill>
      </fill>
    </dxf>
  </rfmt>
  <rfmt sheetId="1" sqref="F114">
    <dxf>
      <fill>
        <patternFill patternType="solid">
          <bgColor rgb="FFFFFF00"/>
        </patternFill>
      </fill>
    </dxf>
  </rfmt>
  <rfmt sheetId="1" sqref="F119">
    <dxf>
      <fill>
        <patternFill>
          <bgColor rgb="FFFFFF00"/>
        </patternFill>
      </fill>
    </dxf>
  </rfmt>
  <rfmt sheetId="1" sqref="F133">
    <dxf>
      <fill>
        <patternFill>
          <bgColor rgb="FFFF0000"/>
        </patternFill>
      </fill>
    </dxf>
  </rfmt>
  <rfmt sheetId="1" sqref="F147">
    <dxf>
      <fill>
        <patternFill patternType="solid">
          <bgColor rgb="FFFFFF00"/>
        </patternFill>
      </fill>
    </dxf>
  </rfmt>
  <rfmt sheetId="1" sqref="F149">
    <dxf>
      <fill>
        <patternFill>
          <bgColor rgb="FFFFFF00"/>
        </patternFill>
      </fill>
    </dxf>
  </rfmt>
  <rfmt sheetId="1" sqref="F152">
    <dxf>
      <fill>
        <patternFill patternType="solid">
          <bgColor rgb="FFFFFF00"/>
        </patternFill>
      </fill>
    </dxf>
  </rfmt>
  <rfmt sheetId="1" sqref="F154">
    <dxf>
      <fill>
        <patternFill>
          <bgColor rgb="FFFFFF00"/>
        </patternFill>
      </fill>
    </dxf>
  </rfmt>
  <rcc rId="4062" sId="1" numFmtId="4">
    <oc r="F158">
      <v>4214.1000000000004</v>
    </oc>
    <nc r="F158">
      <v>4047.7</v>
    </nc>
  </rcc>
  <rcc rId="4063" sId="1" numFmtId="4">
    <oc r="F155">
      <v>48.54</v>
    </oc>
    <nc r="F155">
      <v>46.62</v>
    </nc>
  </rcc>
  <rcc rId="4064" sId="1" numFmtId="4">
    <oc r="F156">
      <v>14.66</v>
    </oc>
    <nc r="F156">
      <v>14.08</v>
    </nc>
  </rcc>
  <rfmt sheetId="1" sqref="F157">
    <dxf>
      <fill>
        <patternFill>
          <bgColor rgb="FFFFFF00"/>
        </patternFill>
      </fill>
    </dxf>
  </rfmt>
  <rfmt sheetId="1" sqref="F159">
    <dxf>
      <fill>
        <patternFill>
          <bgColor rgb="FFFFFF00"/>
        </patternFill>
      </fill>
    </dxf>
  </rfmt>
  <rfmt sheetId="1" sqref="F173">
    <dxf>
      <fill>
        <patternFill>
          <bgColor rgb="FFFFFF00"/>
        </patternFill>
      </fill>
    </dxf>
  </rfmt>
  <rfmt sheetId="1" sqref="F175">
    <dxf>
      <fill>
        <patternFill>
          <bgColor rgb="FFFFFF00"/>
        </patternFill>
      </fill>
    </dxf>
  </rfmt>
  <rfmt sheetId="1" sqref="F171">
    <dxf>
      <fill>
        <patternFill patternType="solid">
          <bgColor rgb="FFFF0000"/>
        </patternFill>
      </fill>
    </dxf>
  </rfmt>
  <rfmt sheetId="1" sqref="F186">
    <dxf>
      <fill>
        <patternFill patternType="solid">
          <bgColor rgb="FFFFFF00"/>
        </patternFill>
      </fill>
    </dxf>
  </rfmt>
  <rfmt sheetId="1" sqref="F188">
    <dxf>
      <fill>
        <patternFill>
          <bgColor rgb="FFFFFF00"/>
        </patternFill>
      </fill>
    </dxf>
  </rfmt>
  <rfmt sheetId="1" sqref="A197:F197" start="0" length="2147483647">
    <dxf>
      <font>
        <i/>
      </font>
    </dxf>
  </rfmt>
  <rfmt sheetId="1" sqref="F196">
    <dxf>
      <fill>
        <patternFill patternType="solid">
          <bgColor rgb="FFFFFF00"/>
        </patternFill>
      </fill>
    </dxf>
  </rfmt>
  <rfmt sheetId="1" sqref="F204">
    <dxf>
      <fill>
        <patternFill patternType="solid">
          <bgColor rgb="FFFFFF00"/>
        </patternFill>
      </fill>
    </dxf>
  </rfmt>
  <rfmt sheetId="1" sqref="F213">
    <dxf>
      <fill>
        <patternFill patternType="solid">
          <bgColor rgb="FFFFFF00"/>
        </patternFill>
      </fill>
    </dxf>
  </rfmt>
  <rfmt sheetId="1" sqref="F215">
    <dxf>
      <fill>
        <patternFill patternType="solid">
          <bgColor rgb="FFFF0000"/>
        </patternFill>
      </fill>
    </dxf>
  </rfmt>
  <rcc rId="4065" sId="1">
    <oc r="F221">
      <f>14180+283.6+14.5</f>
    </oc>
    <nc r="F221">
      <f>14836.2+302.8+15.1389</f>
    </nc>
  </rcc>
  <rfmt sheetId="1" sqref="F220">
    <dxf>
      <fill>
        <patternFill patternType="solid">
          <bgColor rgb="FFFFFF00"/>
        </patternFill>
      </fill>
    </dxf>
  </rfmt>
  <rcc rId="4066" sId="1">
    <oc r="F225">
      <f>100000+2040.8</f>
    </oc>
    <nc r="F225">
      <f>29475.6+600</f>
    </nc>
  </rcc>
  <rfmt sheetId="1" sqref="F224">
    <dxf>
      <fill>
        <patternFill patternType="solid">
          <bgColor rgb="FFFFFF00"/>
        </patternFill>
      </fill>
    </dxf>
  </rfmt>
  <rcc rId="4067" sId="1" numFmtId="4">
    <oc r="F244">
      <v>253456.1</v>
    </oc>
    <nc r="F244">
      <f>256485.6</f>
    </nc>
  </rcc>
  <rfmt sheetId="1" sqref="F243">
    <dxf>
      <fill>
        <patternFill patternType="solid">
          <bgColor rgb="FFFFFF00"/>
        </patternFill>
      </fill>
    </dxf>
  </rfmt>
  <rcc rId="4068" sId="1">
    <oc r="F252">
      <f>105982.8+5715.8</f>
    </oc>
    <nc r="F252">
      <f>109531.5+5715.8</f>
    </nc>
  </rcc>
  <rfmt sheetId="1" sqref="F251">
    <dxf>
      <fill>
        <patternFill patternType="solid">
          <bgColor rgb="FFFFFF00"/>
        </patternFill>
      </fill>
    </dxf>
  </rfmt>
  <rfmt sheetId="1" sqref="F314">
    <dxf>
      <fill>
        <patternFill patternType="solid">
          <bgColor rgb="FFFFFF00"/>
        </patternFill>
      </fill>
    </dxf>
  </rfmt>
  <rfmt sheetId="1" sqref="F337">
    <dxf>
      <fill>
        <patternFill patternType="solid">
          <bgColor rgb="FFFF000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9" sId="1">
    <oc r="F262">
      <f>8280+880.2</f>
    </oc>
    <nc r="F262">
      <f>8280+436</f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70" sId="1" ref="A257:XFD257" action="insertRow"/>
  <rrc rId="4071" sId="1" ref="A257:XFD257" action="insertRow"/>
  <rcc rId="4072" sId="1" odxf="1" dxf="1">
    <nc r="A257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073" sId="1" odxf="1" dxf="1">
    <nc r="B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74" sId="1" odxf="1" dxf="1">
    <nc r="C2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7" start="0" length="0">
    <dxf>
      <font>
        <i/>
        <name val="Times New Roman"/>
        <family val="1"/>
      </font>
    </dxf>
  </rfmt>
  <rfmt sheetId="1" sqref="E257" start="0" length="0">
    <dxf>
      <font>
        <i/>
        <name val="Times New Roman"/>
        <family val="1"/>
      </font>
    </dxf>
  </rfmt>
  <rcc rId="4075" sId="1" odxf="1" dxf="1">
    <nc r="F257">
      <f>F258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4076" sId="1">
    <nc r="A258" t="inlineStr">
      <is>
        <t>Субсидии бюджетным учреждениям на иные цели</t>
      </is>
    </nc>
  </rcc>
  <rcc rId="4077" sId="1">
    <nc r="B258" t="inlineStr">
      <is>
        <t>07</t>
      </is>
    </nc>
  </rcc>
  <rcc rId="4078" sId="1">
    <nc r="C258" t="inlineStr">
      <is>
        <t>02</t>
      </is>
    </nc>
  </rcc>
  <rcc rId="4079" sId="1">
    <nc r="E258" t="inlineStr">
      <is>
        <t>612</t>
      </is>
    </nc>
  </rcc>
  <rcc rId="4080" sId="1">
    <nc r="D257" t="inlineStr">
      <is>
        <t>102EВ 51790</t>
      </is>
    </nc>
  </rcc>
  <rcc rId="4081" sId="1" odxf="1" dxf="1">
    <nc r="D258" t="inlineStr">
      <is>
        <t>102EВ 51790</t>
      </is>
    </nc>
    <ndxf>
      <font>
        <i/>
        <name val="Times New Roman"/>
        <family val="1"/>
      </font>
    </ndxf>
  </rcc>
  <rfmt sheetId="1" sqref="D258" start="0" length="2147483647">
    <dxf>
      <font>
        <i val="0"/>
      </font>
    </dxf>
  </rfmt>
  <rcc rId="4082" sId="1">
    <nc r="F258">
      <f>4758</f>
    </nc>
  </rcc>
  <rcc rId="4083" sId="1">
    <oc r="F240">
      <f>F243+F245+F247+F253+F251+F242+F249+F255</f>
    </oc>
    <nc r="F240">
      <f>F243+F245+F247+F253+F251+F242+F249+F255+F257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7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/>
      </fill>
      <alignment horizontal="general" vertical="bottom" wrapText="0"/>
      <border outline="0">
        <left/>
        <right/>
        <top/>
        <bottom/>
      </border>
    </dxf>
  </rfmt>
  <rfmt sheetId="1" xfDxf="1" sqref="A257" start="0" length="0">
    <dxf>
      <font>
        <sz val="12"/>
        <color rgb="FF000000"/>
        <name val="Times New Roman"/>
        <family val="1"/>
      </font>
    </dxf>
  </rfmt>
  <rcc rId="4084" sId="1" odxf="1" dxf="1">
    <oc r="A257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oc>
    <nc r="A25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392:XFD395" action="insertRow"/>
  <rcc rId="4086" sId="1" odxf="1" dxf="1">
    <nc r="A392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4087" sId="1" odxf="1" dxf="1">
    <nc r="B392" t="inlineStr">
      <is>
        <t>10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088" sId="1" odxf="1" dxf="1">
    <nc r="C392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089" sId="1" odxf="1" dxf="1">
    <nc r="D392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92" start="0" length="0">
    <dxf>
      <fill>
        <patternFill patternType="none">
          <bgColor indexed="65"/>
        </patternFill>
      </fill>
    </dxf>
  </rfmt>
  <rcc rId="4090" sId="1" odxf="1" dxf="1">
    <nc r="F392">
      <f>F393</f>
    </nc>
    <odxf>
      <fill>
        <patternFill patternType="solid">
          <bgColor indexed="41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091" sId="1" odxf="1" dxf="1">
    <nc r="H392">
      <f>F384+F380+F373+F370+F365+F355+F350+F348+F344+F340+F276+F263+F261</f>
    </nc>
    <odxf>
      <numFmt numFmtId="0" formatCode="General"/>
    </odxf>
    <ndxf>
      <numFmt numFmtId="165" formatCode="0.00000"/>
    </ndxf>
  </rcc>
  <rcc rId="4092" sId="1" odxf="1" dxf="1">
    <nc r="A393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4093" sId="1" odxf="1" dxf="1">
    <nc r="B393" t="inlineStr">
      <is>
        <t>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4" sId="1" odxf="1" dxf="1">
    <nc r="C393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5" sId="1" odxf="1" dxf="1">
    <nc r="D393" t="inlineStr">
      <is>
        <t>06004 00000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9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096" sId="1" odxf="1" dxf="1">
    <nc r="F393">
      <f>F394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4097" sId="1" odxf="1" dxf="1">
    <nc r="A39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4098" sId="1" odxf="1" dxf="1">
    <nc r="B394" t="inlineStr">
      <is>
        <t>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C394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D394" t="inlineStr">
      <is>
        <t>06004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9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101" sId="1" odxf="1" dxf="1">
    <nc r="F394">
      <f>F395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4102" sId="1" odxf="1" dxf="1">
    <nc r="A395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4103" sId="1" odxf="1" dxf="1">
    <nc r="B395" t="inlineStr">
      <is>
        <t>10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104" sId="1" odxf="1" dxf="1">
    <nc r="C395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105" sId="1" odxf="1" dxf="1">
    <nc r="D395" t="inlineStr">
      <is>
        <t>06004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106" sId="1" odxf="1" dxf="1">
    <nc r="E395" t="inlineStr">
      <is>
        <t>322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9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4107" sId="1" numFmtId="4">
    <nc r="F395">
      <f>6766+138.1</f>
    </nc>
  </rcc>
  <rcc rId="4108" sId="1">
    <oc r="F391">
      <f>F396</f>
    </oc>
    <nc r="F391">
      <f>F396+F392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функцион.структура!$A$1:$F$465</formula>
    <oldFormula>функцион.структура!$A$1:$F$465</oldFormula>
  </rdn>
  <rdn rId="0" localSheetId="1" customView="1" name="Z_629918FE_B1DF_464A_BF50_03D18729BC02_.wvu.FilterData" hidden="1" oldHidden="1">
    <formula>функцион.структура!$A$13:$F$472</formula>
    <oldFormula>функцион.структура!$A$13:$F$472</oldFormula>
  </rdn>
  <rcv guid="{629918FE-B1DF-464A-BF50-03D18729BC02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5">
    <dxf>
      <fill>
        <patternFill>
          <bgColor rgb="FF92D05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5" sId="1" numFmtId="4">
    <nc r="F509">
      <v>1587962.675</v>
    </nc>
  </rcc>
  <rfmt sheetId="1" sqref="F509">
    <dxf>
      <numFmt numFmtId="166" formatCode="#,##0.00000"/>
    </dxf>
  </rfmt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11" sId="1" ref="A213:XFD213" action="insertRow"/>
  <rrc rId="4112" sId="1" ref="A213:XFD213" action="insertRow"/>
  <rfmt sheetId="1" sqref="A213" start="0" length="0">
    <dxf>
      <font>
        <b val="0"/>
        <i/>
        <name val="Times New Roman"/>
        <family val="1"/>
      </font>
      <alignment horizontal="general" vertical="top"/>
    </dxf>
  </rfmt>
  <rcc rId="4113" sId="1" odxf="1" dxf="1">
    <nc r="B21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114" sId="1" odxf="1" dxf="1">
    <nc r="C21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13" start="0" length="0">
    <dxf>
      <font>
        <b val="0"/>
        <i/>
        <name val="Times New Roman"/>
        <family val="1"/>
      </font>
    </dxf>
  </rfmt>
  <rfmt sheetId="1" sqref="E213" start="0" length="0">
    <dxf>
      <font>
        <b val="0"/>
        <i/>
        <name val="Times New Roman"/>
        <family val="1"/>
      </font>
    </dxf>
  </rfmt>
  <rcc rId="4115" sId="1" odxf="1" dxf="1">
    <nc r="F213">
      <f>SUM(F214:F214)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4116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4117" sId="1" odxf="1" dxf="1">
    <nc r="B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4118" sId="1" odxf="1" dxf="1">
    <nc r="C21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14" start="0" length="0">
    <dxf>
      <font>
        <b val="0"/>
        <name val="Times New Roman"/>
        <family val="1"/>
      </font>
    </dxf>
  </rfmt>
  <rcc rId="4119" sId="1" odxf="1" dxf="1">
    <nc r="E21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14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A213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213" start="0" length="0">
    <dxf>
      <font>
        <sz val="12"/>
        <color rgb="FF000000"/>
        <name val="Times New Roman"/>
        <family val="1"/>
      </font>
    </dxf>
  </rfmt>
  <rcc rId="4120" sId="1" odxf="1" dxf="1">
    <nc r="A213" t="inlineStr">
      <is>
        <t>Обеспечение комплексного развития сельских территорий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21" sId="1">
    <nc r="D214" t="inlineStr">
      <is>
        <t>99900 L5760</t>
      </is>
    </nc>
  </rcc>
  <rcc rId="4122" sId="1" odxf="1" dxf="1">
    <nc r="D213" t="inlineStr">
      <is>
        <t>99900 L5760</t>
      </is>
    </nc>
    <ndxf>
      <font>
        <i val="0"/>
        <name val="Times New Roman"/>
        <family val="1"/>
      </font>
    </ndxf>
  </rcc>
  <rfmt sheetId="1" sqref="D213" start="0" length="2147483647">
    <dxf>
      <font>
        <i/>
      </font>
    </dxf>
  </rfmt>
  <rcc rId="4123" sId="1" numFmtId="4">
    <nc r="F214">
      <f>50104.8+1022.5</f>
    </nc>
  </rcc>
  <rcc rId="4124" sId="1">
    <oc r="F212">
      <f>F217+F215</f>
    </oc>
    <nc r="F212">
      <f>F217+F215+F213</f>
    </nc>
  </rcc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25" sId="1" ref="A226:XFD226" action="insertRow"/>
  <rrc rId="4126" sId="1" ref="A227:XFD227" action="insertRow"/>
  <rfmt sheetId="1" sqref="A226" start="0" length="0">
    <dxf>
      <font>
        <b val="0"/>
        <i/>
        <name val="Times New Roman"/>
        <family val="1"/>
      </font>
    </dxf>
  </rfmt>
  <rcc rId="4127" sId="1" odxf="1" dxf="1">
    <nc r="B2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128" sId="1" odxf="1" dxf="1">
    <nc r="C2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26" start="0" length="0">
    <dxf>
      <font>
        <b val="0"/>
        <i/>
        <name val="Times New Roman"/>
        <family val="1"/>
      </font>
    </dxf>
  </rfmt>
  <rfmt sheetId="1" sqref="E226" start="0" length="0">
    <dxf>
      <font>
        <b val="0"/>
        <i/>
        <name val="Times New Roman"/>
        <family val="1"/>
      </font>
    </dxf>
  </rfmt>
  <rcc rId="4129" sId="1" odxf="1" dxf="1">
    <nc r="F226">
      <f>F227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fmt sheetId="1" sqref="A227" start="0" length="0">
    <dxf>
      <font>
        <b val="0"/>
        <color indexed="8"/>
        <name val="Times New Roman"/>
        <family val="1"/>
      </font>
      <fill>
        <patternFill patternType="solid"/>
      </fill>
      <alignment horizontal="left" vertical="center"/>
    </dxf>
  </rfmt>
  <rcc rId="4130" sId="1" odxf="1" dxf="1">
    <nc r="B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4131" sId="1" odxf="1" dxf="1">
    <nc r="C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27" start="0" length="0">
    <dxf>
      <font>
        <b val="0"/>
        <name val="Times New Roman"/>
        <family val="1"/>
      </font>
    </dxf>
  </rfmt>
  <rfmt sheetId="1" sqref="E227" start="0" length="0">
    <dxf>
      <font>
        <b val="0"/>
        <name val="Times New Roman"/>
        <family val="1"/>
      </font>
    </dxf>
  </rfmt>
  <rfmt sheetId="1" sqref="F22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4132" sId="1">
    <nc r="D226" t="inlineStr">
      <is>
        <t>999F2 54240</t>
      </is>
    </nc>
  </rcc>
  <rcc rId="4133" sId="1" odxf="1" dxf="1">
    <nc r="D227" t="inlineStr">
      <is>
        <t>999F2 54240</t>
      </is>
    </nc>
    <ndxf>
      <font>
        <i/>
        <name val="Times New Roman"/>
        <family val="1"/>
      </font>
    </ndxf>
  </rcc>
  <rfmt sheetId="1" sqref="D227" start="0" length="2147483647">
    <dxf>
      <font>
        <i val="0"/>
      </font>
    </dxf>
  </rfmt>
  <rcc rId="4134" sId="1">
    <nc r="E227" t="inlineStr">
      <is>
        <t>540</t>
      </is>
    </nc>
  </rcc>
  <rcc rId="4135" sId="1" odxf="1" dxf="1">
    <nc r="A22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4136" sId="1">
    <nc r="F227">
      <f>85000</f>
    </nc>
  </rcc>
  <rcc rId="4137" sId="1">
    <oc r="F225">
      <f>F228</f>
    </oc>
    <nc r="F225">
      <f>F228+F226</f>
    </nc>
  </rcc>
  <rfmt sheetId="1" sqref="A2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226" start="0" length="0">
    <dxf>
      <font>
        <sz val="12"/>
        <color rgb="FF000000"/>
        <name val="Times New Roman"/>
        <family val="1"/>
      </font>
    </dxf>
  </rfmt>
  <rcc rId="4138" sId="1" odxf="1" dxf="1">
    <nc r="A226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39" sId="1" ref="A267:XFD268" action="insertRow"/>
  <rcc rId="4140" sId="1">
    <nc r="A267" t="inlineStr">
      <is>
        <t>Реализация мероприятий по модернизации школьных систем образования</t>
      </is>
    </nc>
  </rcc>
  <rcc rId="4141" sId="1">
    <nc r="B267" t="inlineStr">
      <is>
        <t>07</t>
      </is>
    </nc>
  </rcc>
  <rcc rId="4142" sId="1">
    <nc r="C267" t="inlineStr">
      <is>
        <t>02</t>
      </is>
    </nc>
  </rcc>
  <rcc rId="4143" sId="1">
    <nc r="D267" t="inlineStr">
      <is>
        <t>10203 L7500</t>
      </is>
    </nc>
  </rcc>
  <rcc rId="4144" sId="1">
    <nc r="F267">
      <f>F268</f>
    </nc>
  </rcc>
  <rcc rId="4145" sId="1" odxf="1" dxf="1">
    <nc r="A268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4146" sId="1" odxf="1" dxf="1">
    <nc r="B26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7" sId="1" odxf="1" dxf="1">
    <nc r="C26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8" sId="1" odxf="1" dxf="1">
    <nc r="D268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9" sId="1" odxf="1" dxf="1">
    <nc r="E268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68" start="0" length="0">
    <dxf>
      <font>
        <i val="0"/>
        <name val="Times New Roman"/>
        <family val="1"/>
      </font>
    </dxf>
  </rfmt>
  <rcc rId="4150" sId="1" numFmtId="4">
    <nc r="F268">
      <f>19875.4+1268.7</f>
    </nc>
  </rcc>
  <rfmt sheetId="1" sqref="F267">
    <dxf>
      <fill>
        <patternFill patternType="solid">
          <bgColor rgb="FFFFFF0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1" sId="1">
    <oc r="F266">
      <f>F269</f>
    </oc>
    <nc r="F266">
      <f>F269+F267</f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52" sId="1" ref="A267:XFD267" action="insertRow"/>
  <rrc rId="4153" sId="1" ref="A268:XFD268" action="insertRow"/>
  <rcc rId="4154" sId="1">
    <nc r="B267" t="inlineStr">
      <is>
        <t>07</t>
      </is>
    </nc>
  </rcc>
  <rcc rId="4155" sId="1">
    <nc r="C267" t="inlineStr">
      <is>
        <t>02</t>
      </is>
    </nc>
  </rcc>
  <rcc rId="4156" sId="1" odxf="1" dxf="1">
    <nc r="F267">
      <f>F268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157" sId="1" odxf="1" dxf="1">
    <nc r="A268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4158" sId="1" odxf="1" dxf="1">
    <nc r="B26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59" sId="1" odxf="1" dxf="1">
    <nc r="C26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68" start="0" length="0">
    <dxf>
      <font>
        <i val="0"/>
        <name val="Times New Roman"/>
        <family val="1"/>
      </font>
    </dxf>
  </rfmt>
  <rcc rId="4160" sId="1" odxf="1" dxf="1">
    <nc r="E268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68" start="0" length="0">
    <dxf>
      <font>
        <i val="0"/>
        <name val="Times New Roman"/>
        <family val="1"/>
      </font>
    </dxf>
  </rfmt>
  <rcc rId="4161" sId="1">
    <nc r="D267" t="inlineStr">
      <is>
        <t>10203 72И50</t>
      </is>
    </nc>
  </rcc>
  <rfmt sheetId="1" sqref="A267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67" start="0" length="0">
    <dxf>
      <font>
        <sz val="12"/>
        <color rgb="FF000000"/>
        <name val="Times New Roman"/>
        <family val="1"/>
      </font>
    </dxf>
  </rfmt>
  <rfmt sheetId="1" sqref="A267" start="0" length="0">
    <dxf>
      <font>
        <i/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162" sId="1">
    <nc r="A267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4163" sId="1" odxf="1" dxf="1">
    <nc r="D268" t="inlineStr">
      <is>
        <t>10203 72И50</t>
      </is>
    </nc>
    <ndxf>
      <font>
        <i/>
        <name val="Times New Roman"/>
        <family val="1"/>
      </font>
    </ndxf>
  </rcc>
  <rfmt sheetId="1" sqref="D268" start="0" length="2147483647">
    <dxf>
      <font>
        <i val="0"/>
      </font>
    </dxf>
  </rfmt>
  <rcc rId="4164" sId="1">
    <nc r="F268">
      <f>2492.1</f>
    </nc>
  </rcc>
  <rcc rId="4165" sId="1">
    <oc r="F266">
      <f>F271+F269</f>
    </oc>
    <nc r="F266">
      <f>F271+F269+F267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функцион.структура!$A$1:$F$473</formula>
    <oldFormula>функцион.структура!$A$1:$F$473</oldFormula>
  </rdn>
  <rdn rId="0" localSheetId="1" customView="1" name="Z_629918FE_B1DF_464A_BF50_03D18729BC02_.wvu.FilterData" hidden="1" oldHidden="1">
    <formula>функцион.структура!$A$13:$F$480</formula>
    <oldFormula>функцион.структура!$A$13:$F$480</oldFormula>
  </rdn>
  <rcv guid="{629918FE-B1DF-464A-BF50-03D18729BC02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68" sId="1" ref="A340:XFD341" action="insertRow"/>
  <rm rId="4169" sheetId="1" source="A261:XFD262" destination="A340:XFD341" sourceSheetId="1">
    <rfmt sheetId="1" xfDxf="1" sqref="A340:XFD340" start="0" length="0">
      <dxf>
        <font>
          <i/>
          <name val="Times New Roman CYR"/>
          <family val="1"/>
        </font>
        <alignment wrapText="1"/>
      </dxf>
    </rfmt>
    <rfmt sheetId="1" xfDxf="1" sqref="A341:XFD341" start="0" length="0">
      <dxf>
        <font>
          <i/>
          <name val="Times New Roman CYR"/>
          <family val="1"/>
        </font>
        <alignment wrapText="1"/>
      </dxf>
    </rfmt>
    <rfmt sheetId="1" sqref="A3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170" sId="1" ref="A261:XFD261" action="deleteRow">
    <rfmt sheetId="1" xfDxf="1" sqref="A261:XFD261" start="0" length="0">
      <dxf>
        <font>
          <name val="Times New Roman CYR"/>
          <family val="1"/>
        </font>
        <alignment wrapText="1"/>
      </dxf>
    </rfmt>
  </rrc>
  <rrc rId="4171" sId="1" ref="A261:XFD261" action="deleteRow">
    <rfmt sheetId="1" xfDxf="1" sqref="A261:XFD261" start="0" length="0">
      <dxf>
        <font>
          <name val="Times New Roman CYR"/>
          <family val="1"/>
        </font>
        <alignment wrapText="1"/>
      </dxf>
    </rfmt>
  </rrc>
  <rcc rId="4172" sId="1">
    <oc r="C338" t="inlineStr">
      <is>
        <t>02</t>
      </is>
    </oc>
    <nc r="C338" t="inlineStr">
      <is>
        <t>09</t>
      </is>
    </nc>
  </rcc>
  <rcc rId="4173" sId="1">
    <oc r="C339" t="inlineStr">
      <is>
        <t>02</t>
      </is>
    </oc>
    <nc r="C339" t="inlineStr">
      <is>
        <t>09</t>
      </is>
    </nc>
  </rcc>
  <rfmt sheetId="1" sqref="A338:XFD339">
    <dxf>
      <fill>
        <patternFill>
          <bgColor rgb="FFFFFF00"/>
        </patternFill>
      </fill>
    </dxf>
  </rfmt>
  <rrc rId="4174" sId="1" ref="A288:XFD288" action="insertRow"/>
  <rrc rId="4175" sId="1" ref="A288:XFD288" action="insertRow"/>
  <rfmt sheetId="1" sqref="A288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4176" sId="1" odxf="1" dxf="1">
    <nc r="B28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8" start="0" length="0">
    <dxf>
      <font>
        <i/>
        <name val="Times New Roman"/>
        <family val="1"/>
      </font>
    </dxf>
  </rfmt>
  <rfmt sheetId="1" sqref="D288" start="0" length="0">
    <dxf>
      <font>
        <i/>
        <name val="Times New Roman"/>
        <family val="1"/>
      </font>
    </dxf>
  </rfmt>
  <rfmt sheetId="1" sqref="E288" start="0" length="0">
    <dxf>
      <font>
        <i/>
        <name val="Times New Roman"/>
        <family val="1"/>
      </font>
    </dxf>
  </rfmt>
  <rcc rId="4177" sId="1" odxf="1" dxf="1">
    <nc r="F288">
      <f>F289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8" sId="1" odxf="1" dxf="1">
    <nc r="A28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179" sId="1">
    <nc r="B289" t="inlineStr">
      <is>
        <t>07</t>
      </is>
    </nc>
  </rcc>
  <rcc rId="4180" sId="1">
    <nc r="E289" t="inlineStr">
      <is>
        <t>612</t>
      </is>
    </nc>
  </rcc>
  <rfmt sheetId="1" sqref="F289" start="0" length="0">
    <dxf>
      <fill>
        <patternFill>
          <bgColor theme="0"/>
        </patternFill>
      </fill>
    </dxf>
  </rfmt>
  <rcc rId="4181" sId="1">
    <nc r="C288" t="inlineStr">
      <is>
        <t>03</t>
      </is>
    </nc>
  </rcc>
  <rcc rId="4182" sId="1">
    <nc r="C289" t="inlineStr">
      <is>
        <t>03</t>
      </is>
    </nc>
  </rcc>
  <rcc rId="4183" sId="1">
    <nc r="D289" t="inlineStr">
      <is>
        <t>10303 L5760</t>
      </is>
    </nc>
  </rcc>
  <rcc rId="4184" sId="1">
    <nc r="F289">
      <f>82216.9+1677.9</f>
    </nc>
  </rcc>
  <rcc rId="4185" sId="1" odxf="1" dxf="1">
    <nc r="D288" t="inlineStr">
      <is>
        <t>10303 L5760</t>
      </is>
    </nc>
    <ndxf>
      <font>
        <i val="0"/>
        <name val="Times New Roman"/>
        <family val="1"/>
      </font>
    </ndxf>
  </rcc>
  <rfmt sheetId="1" sqref="D288" start="0" length="2147483647">
    <dxf>
      <font>
        <i/>
      </font>
    </dxf>
  </rfmt>
  <rfmt sheetId="1" sqref="F286:F288">
    <dxf>
      <fill>
        <patternFill>
          <bgColor theme="0"/>
        </patternFill>
      </fill>
    </dxf>
  </rfmt>
  <rrc rId="4186" sId="1" ref="A288:XFD288" action="insertRow"/>
  <rfmt sheetId="1" sqref="A288" start="0" length="0">
    <dxf>
      <font>
        <i/>
        <color indexed="8"/>
        <name val="Times New Roman"/>
        <family val="1"/>
      </font>
      <fill>
        <patternFill patternType="none"/>
      </fill>
    </dxf>
  </rfmt>
  <rcc rId="4187" sId="1" odxf="1" dxf="1">
    <nc r="B28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8" sId="1" odxf="1" dxf="1">
    <nc r="C28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8" start="0" length="0">
    <dxf>
      <font>
        <i/>
        <name val="Times New Roman"/>
        <family val="1"/>
      </font>
    </dxf>
  </rfmt>
  <rfmt sheetId="1" sqref="E288" start="0" length="0">
    <dxf>
      <font>
        <i/>
        <name val="Times New Roman"/>
        <family val="1"/>
      </font>
    </dxf>
  </rfmt>
  <rcc rId="4189" sId="1" odxf="1" dxf="1">
    <nc r="F288">
      <f>F289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90" sId="1">
    <nc r="D288" t="inlineStr">
      <is>
        <t>10303 00000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функцион.структура!$A$1:$F$476</formula>
    <oldFormula>функцион.структура!$A$1:$F$476</oldFormula>
  </rdn>
  <rdn rId="0" localSheetId="1" customView="1" name="Z_629918FE_B1DF_464A_BF50_03D18729BC02_.wvu.FilterData" hidden="1" oldHidden="1">
    <formula>функцион.структура!$A$13:$F$483</formula>
    <oldFormula>функцион.структура!$A$13:$F$483</oldFormula>
  </rdn>
  <rcv guid="{629918FE-B1DF-464A-BF50-03D18729BC02}" action="add"/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89" start="0" length="0">
    <dxf>
      <font>
        <sz val="12"/>
        <color rgb="FF000000"/>
        <name val="Times New Roman"/>
        <family val="1"/>
      </font>
    </dxf>
  </rfmt>
  <rcc rId="4193" sId="1" odxf="1" dxf="1">
    <nc r="A289" t="inlineStr">
      <is>
        <t>Обеспечение комплексного развития сельских территорий</t>
      </is>
    </nc>
    <ndxf>
      <font>
        <i/>
        <sz val="12"/>
        <color rgb="FF000000"/>
        <name val="Times New Roman CYR"/>
        <family val="1"/>
      </font>
      <alignment horizontal="left" vertical="center" wrapText="1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94" sId="1">
    <oc r="F280">
      <f>F281</f>
    </oc>
    <nc r="F280">
      <f>F281+F288</f>
    </nc>
  </rcc>
  <rfmt sheetId="1" sqref="A288">
    <dxf>
      <fill>
        <patternFill patternType="solid">
          <bgColor rgb="FFFFFF00"/>
        </patternFill>
      </fill>
    </dxf>
  </rfmt>
  <rfmt sheetId="1" sqref="F299">
    <dxf>
      <fill>
        <patternFill>
          <bgColor theme="0"/>
        </patternFill>
      </fill>
    </dxf>
  </rfmt>
  <rfmt sheetId="1" sqref="F315:F319">
    <dxf>
      <fill>
        <patternFill>
          <bgColor theme="0"/>
        </patternFill>
      </fill>
    </dxf>
  </rfmt>
  <rfmt sheetId="1" sqref="F325:F330">
    <dxf>
      <fill>
        <patternFill>
          <bgColor theme="0"/>
        </patternFill>
      </fill>
    </dxf>
  </rfmt>
  <rfmt sheetId="1" sqref="F341:F342">
    <dxf>
      <fill>
        <patternFill>
          <bgColor theme="0"/>
        </patternFill>
      </fill>
    </dxf>
  </rfmt>
  <rfmt sheetId="1" sqref="F408">
    <dxf>
      <fill>
        <patternFill>
          <bgColor theme="0"/>
        </patternFill>
      </fill>
    </dxf>
  </rfmt>
  <rfmt sheetId="1" sqref="F411:F412">
    <dxf>
      <fill>
        <patternFill>
          <bgColor theme="0"/>
        </patternFill>
      </fill>
    </dxf>
  </rfmt>
  <rfmt sheetId="1" sqref="F421:F431">
    <dxf>
      <fill>
        <patternFill>
          <bgColor theme="0"/>
        </patternFill>
      </fill>
    </dxf>
  </rfmt>
  <rfmt sheetId="1" sqref="F475">
    <dxf>
      <fill>
        <patternFill>
          <bgColor theme="0"/>
        </patternFill>
      </fill>
    </dxf>
  </rfmt>
  <rfmt sheetId="1" sqref="F249:F259">
    <dxf>
      <fill>
        <patternFill>
          <bgColor theme="0"/>
        </patternFill>
      </fill>
    </dxf>
  </rfmt>
  <rfmt sheetId="1" sqref="F265:F269">
    <dxf>
      <fill>
        <patternFill>
          <bgColor theme="0"/>
        </patternFill>
      </fill>
    </dxf>
  </rfmt>
  <rfmt sheetId="1" sqref="F245:F247">
    <dxf>
      <fill>
        <patternFill>
          <bgColor theme="0"/>
        </patternFill>
      </fill>
    </dxf>
  </rfmt>
  <rfmt sheetId="1" sqref="F237">
    <dxf>
      <fill>
        <patternFill>
          <bgColor theme="0"/>
        </patternFill>
      </fill>
    </dxf>
  </rfmt>
  <rfmt sheetId="1" sqref="F222">
    <dxf>
      <fill>
        <patternFill>
          <bgColor theme="0"/>
        </patternFill>
      </fill>
    </dxf>
  </rfmt>
  <rfmt sheetId="1" sqref="F226:F228">
    <dxf>
      <fill>
        <patternFill>
          <bgColor theme="0"/>
        </patternFill>
      </fill>
    </dxf>
  </rfmt>
  <rfmt sheetId="1" sqref="F213:F215">
    <dxf>
      <fill>
        <patternFill>
          <bgColor theme="0"/>
        </patternFill>
      </fill>
    </dxf>
  </rfmt>
  <rfmt sheetId="1" sqref="F204">
    <dxf>
      <fill>
        <patternFill>
          <bgColor theme="0"/>
        </patternFill>
      </fill>
    </dxf>
  </rfmt>
  <rfmt sheetId="1" sqref="F196">
    <dxf>
      <fill>
        <patternFill>
          <bgColor theme="0"/>
        </patternFill>
      </fill>
    </dxf>
  </rfmt>
  <rfmt sheetId="1" sqref="F186:F188">
    <dxf>
      <fill>
        <patternFill>
          <bgColor theme="0"/>
        </patternFill>
      </fill>
    </dxf>
  </rfmt>
  <rfmt sheetId="1" sqref="F173:F175">
    <dxf>
      <fill>
        <patternFill>
          <bgColor theme="0"/>
        </patternFill>
      </fill>
    </dxf>
  </rfmt>
  <rfmt sheetId="1" sqref="F149:F159">
    <dxf>
      <fill>
        <patternFill>
          <bgColor theme="0"/>
        </patternFill>
      </fill>
    </dxf>
  </rfmt>
  <rfmt sheetId="1" sqref="F147">
    <dxf>
      <fill>
        <patternFill>
          <bgColor theme="0"/>
        </patternFill>
      </fill>
    </dxf>
  </rfmt>
  <rfmt sheetId="1" sqref="F114:F119">
    <dxf>
      <fill>
        <patternFill>
          <bgColor theme="0"/>
        </patternFill>
      </fill>
    </dxf>
  </rfmt>
  <rfmt sheetId="1" sqref="F107:F109">
    <dxf>
      <fill>
        <patternFill>
          <bgColor theme="0"/>
        </patternFill>
      </fill>
    </dxf>
  </rfmt>
  <rfmt sheetId="1" sqref="F69">
    <dxf>
      <fill>
        <patternFill>
          <bgColor theme="0"/>
        </patternFill>
      </fill>
    </dxf>
  </rfmt>
  <rfmt sheetId="1" sqref="F45">
    <dxf>
      <fill>
        <patternFill>
          <bgColor theme="0"/>
        </patternFill>
      </fill>
    </dxf>
  </rfmt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41:F342">
    <dxf>
      <fill>
        <patternFill>
          <bgColor rgb="FFFFFF00"/>
        </patternFill>
      </fill>
    </dxf>
  </rfmt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5" sId="1" xfDxf="1" dxf="1">
    <nc r="A288" t="inlineStr">
      <is>
        <t>Основное мероприятие «Капитальный ремонт учреждений дополнительного образования»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88:XFD288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функцион.структура!$A$1:$F$476</formula>
    <oldFormula>функцион.структура!$A$1:$F$476</oldFormula>
  </rdn>
  <rdn rId="0" localSheetId="1" customView="1" name="Z_629918FE_B1DF_464A_BF50_03D18729BC02_.wvu.FilterData" hidden="1" oldHidden="1">
    <formula>функцион.структура!$A$13:$F$483</formula>
    <oldFormula>функцион.структура!$A$13:$F$483</oldFormula>
  </rdn>
  <rcv guid="{629918FE-B1DF-464A-BF50-03D18729BC02}" action="add"/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8:F290">
    <dxf>
      <fill>
        <patternFill>
          <bgColor rgb="FFFFFF00"/>
        </patternFill>
      </fill>
    </dxf>
  </rfmt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6" sId="1">
    <nc r="F511">
      <f>F507-F509</f>
    </nc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17:F218">
    <dxf>
      <fill>
        <patternFill>
          <bgColor rgb="FFFFFF00"/>
        </patternFill>
      </fill>
    </dxf>
  </rfmt>
  <rfmt sheetId="1" sqref="A171:F172">
    <dxf>
      <fill>
        <patternFill>
          <bgColor rgb="FFFFFF00"/>
        </patternFill>
      </fill>
    </dxf>
  </rfmt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50:F350">
    <dxf>
      <fill>
        <patternFill>
          <bgColor rgb="FFFF0000"/>
        </patternFill>
      </fill>
    </dxf>
  </rfmt>
  <rfmt sheetId="1" sqref="A350:F350">
    <dxf>
      <fill>
        <patternFill>
          <bgColor rgb="FFFFFF00"/>
        </patternFill>
      </fill>
    </dxf>
  </rfmt>
  <rfmt sheetId="1" sqref="A406:F406">
    <dxf>
      <fill>
        <patternFill>
          <bgColor rgb="FFFFFF00"/>
        </patternFill>
      </fill>
    </dxf>
  </rfmt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71:F172">
    <dxf>
      <fill>
        <patternFill>
          <bgColor theme="0"/>
        </patternFill>
      </fill>
    </dxf>
  </rfmt>
  <rfmt sheetId="1" sqref="F172">
    <dxf>
      <fill>
        <patternFill>
          <bgColor rgb="FFFF0000"/>
        </patternFill>
      </fill>
    </dxf>
  </rfmt>
  <rfmt sheetId="1" sqref="F174">
    <dxf>
      <fill>
        <patternFill>
          <bgColor rgb="FFFF0000"/>
        </patternFill>
      </fill>
    </dxf>
  </rfmt>
  <rfmt sheetId="1" sqref="F176">
    <dxf>
      <fill>
        <patternFill>
          <bgColor rgb="FFFF0000"/>
        </patternFill>
      </fill>
    </dxf>
  </rfmt>
  <rfmt sheetId="1" sqref="A217:F218">
    <dxf>
      <fill>
        <patternFill>
          <bgColor theme="0"/>
        </patternFill>
      </fill>
    </dxf>
  </rfmt>
  <rfmt sheetId="1" sqref="F218">
    <dxf>
      <fill>
        <patternFill>
          <bgColor rgb="FFFF0000"/>
        </patternFill>
      </fill>
    </dxf>
  </rfmt>
  <rfmt sheetId="1" sqref="F223">
    <dxf>
      <fill>
        <patternFill>
          <bgColor rgb="FFFF0000"/>
        </patternFill>
      </fill>
    </dxf>
  </rfmt>
  <rfmt sheetId="1" sqref="F216">
    <dxf>
      <fill>
        <patternFill>
          <bgColor rgb="FFFF0000"/>
        </patternFill>
      </fill>
    </dxf>
  </rfmt>
  <rfmt sheetId="1" sqref="F227">
    <dxf>
      <fill>
        <patternFill>
          <bgColor rgb="FFFF0000"/>
        </patternFill>
      </fill>
    </dxf>
  </rfmt>
  <rfmt sheetId="1" sqref="F229">
    <dxf>
      <fill>
        <patternFill>
          <bgColor rgb="FFFF0000"/>
        </patternFill>
      </fill>
    </dxf>
  </rfmt>
  <rfmt sheetId="1" sqref="F266">
    <dxf>
      <fill>
        <patternFill>
          <bgColor rgb="FFFF0000"/>
        </patternFill>
      </fill>
    </dxf>
  </rfmt>
  <rfmt sheetId="1" sqref="F268">
    <dxf>
      <fill>
        <patternFill>
          <bgColor rgb="FFFF0000"/>
        </patternFill>
      </fill>
    </dxf>
  </rfmt>
  <rfmt sheetId="1" sqref="A288:F290">
    <dxf>
      <fill>
        <patternFill>
          <bgColor theme="0"/>
        </patternFill>
      </fill>
    </dxf>
  </rfmt>
  <rfmt sheetId="1" sqref="F290">
    <dxf>
      <fill>
        <patternFill>
          <bgColor rgb="FFFF0000"/>
        </patternFill>
      </fill>
    </dxf>
  </rfmt>
  <rfmt sheetId="1" sqref="A341:F342">
    <dxf>
      <fill>
        <patternFill>
          <bgColor theme="0"/>
        </patternFill>
      </fill>
    </dxf>
  </rfmt>
  <rfmt sheetId="1" sqref="F342">
    <dxf>
      <fill>
        <patternFill>
          <bgColor rgb="FFFF0000"/>
        </patternFill>
      </fill>
    </dxf>
  </rfmt>
  <rfmt sheetId="1" sqref="F350">
    <dxf>
      <fill>
        <patternFill>
          <bgColor rgb="FFFF0000"/>
        </patternFill>
      </fill>
    </dxf>
  </rfmt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8" sId="1" ref="A267:XFD267" action="insertRow"/>
  <rrc rId="4199" sId="1" ref="A268:XFD268" action="insertRow"/>
  <rfmt sheetId="1" sqref="A267" start="0" length="0">
    <dxf>
      <font>
        <i/>
        <color indexed="8"/>
        <name val="Times New Roman"/>
        <family val="1"/>
      </font>
      <fill>
        <patternFill patternType="none"/>
      </fill>
    </dxf>
  </rfmt>
  <rcc rId="4200" sId="1" odxf="1" dxf="1">
    <nc r="B26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01" sId="1" odxf="1" dxf="1">
    <nc r="C26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67" start="0" length="0">
    <dxf>
      <font>
        <i/>
        <name val="Times New Roman"/>
        <family val="1"/>
      </font>
    </dxf>
  </rfmt>
  <rfmt sheetId="1" sqref="E267" start="0" length="0">
    <dxf>
      <font>
        <i/>
        <name val="Times New Roman"/>
        <family val="1"/>
      </font>
    </dxf>
  </rfmt>
  <rcc rId="4202" sId="1" odxf="1" dxf="1">
    <nc r="F267">
      <f>F268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203" sId="1">
    <nc r="A268" t="inlineStr">
      <is>
        <t>Субсидии бюджетным учреждениям на иные цели</t>
      </is>
    </nc>
  </rcc>
  <rcc rId="4204" sId="1">
    <nc r="B268" t="inlineStr">
      <is>
        <t>07</t>
      </is>
    </nc>
  </rcc>
  <rcc rId="4205" sId="1">
    <nc r="C268" t="inlineStr">
      <is>
        <t>02</t>
      </is>
    </nc>
  </rcc>
  <rcc rId="4206" sId="1">
    <nc r="E268" t="inlineStr">
      <is>
        <t>612</t>
      </is>
    </nc>
  </rcc>
  <rcc rId="4207" sId="1">
    <nc r="D267" t="inlineStr">
      <is>
        <t>10203 S2М40</t>
      </is>
    </nc>
  </rcc>
  <rcc rId="4208" sId="1" odxf="1" dxf="1">
    <nc r="D268" t="inlineStr">
      <is>
        <t>10203 S2М40</t>
      </is>
    </nc>
    <ndxf>
      <font>
        <i/>
        <name val="Times New Roman"/>
        <family val="1"/>
      </font>
    </ndxf>
  </rcc>
  <rfmt sheetId="1" sqref="D268" start="0" length="2147483647">
    <dxf>
      <font>
        <i val="0"/>
      </font>
    </dxf>
  </rfmt>
  <rcc rId="4209" sId="1">
    <nc r="F268">
      <f>20278.1</f>
    </nc>
  </rcc>
  <rcc rId="4210" sId="1">
    <oc r="F264">
      <f>F271+F269+F265</f>
    </oc>
    <nc r="F264">
      <f>F271+F269+F265+F267</f>
    </nc>
  </rcc>
  <rfmt sheetId="1" sqref="A267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67" start="0" length="0">
    <dxf>
      <font>
        <sz val="12"/>
        <color rgb="FF000000"/>
        <name val="Times New Roman"/>
        <family val="1"/>
      </font>
    </dxf>
  </rfmt>
  <rcc rId="4211" sId="1" odxf="1" dxf="1">
    <nc r="A267" t="inlineStr">
      <is>
        <t>Мероприятия по обеспечению комплексного развития сельских территорий</t>
      </is>
    </nc>
    <ndxf>
      <font>
        <i/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2" sId="1">
    <oc r="D265" t="inlineStr">
      <is>
        <t>10203 72И50</t>
      </is>
    </oc>
    <nc r="D265" t="inlineStr">
      <is>
        <t>10203 S2И50</t>
      </is>
    </nc>
  </rcc>
  <rcc rId="4213" sId="1">
    <oc r="D266" t="inlineStr">
      <is>
        <t>10203 72И50</t>
      </is>
    </oc>
    <nc r="D266" t="inlineStr">
      <is>
        <t>10203 S2И50</t>
      </is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4" sId="1" numFmtId="4">
    <oc r="F429">
      <v>1715.6</v>
    </oc>
    <nc r="F429">
      <v>1626.34</v>
    </nc>
  </rcc>
  <rcc rId="4215" sId="1" numFmtId="4">
    <oc r="F430">
      <v>518.1</v>
    </oc>
    <nc r="F430">
      <v>490.8</v>
    </nc>
  </rcc>
  <rcc rId="4216" sId="1" numFmtId="4">
    <oc r="F431">
      <v>204.4</v>
    </oc>
    <nc r="F431">
      <v>86</v>
    </nc>
  </rcc>
  <rcc rId="4217" sId="1" numFmtId="4">
    <oc r="F432">
      <v>60.2</v>
    </oc>
    <nc r="F432">
      <v>295.16000000000003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8" sId="1">
    <oc r="F258">
      <f>12321.9+12500</f>
    </oc>
    <nc r="F258">
      <f>12321.9+12321.9</f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9" sId="1">
    <oc r="F302">
      <f>386+7.7</f>
    </oc>
    <nc r="F302">
      <f>386+7.9</f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F260">
      <f>482.5+10</f>
    </oc>
    <nc r="F260">
      <f>482.5+9.8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>
    <oc r="F254">
      <f>29257.6+300</f>
    </oc>
    <nc r="F254">
      <f>29257.6+295.5</f>
    </nc>
  </rcc>
  <rrc rId="4222" sId="1" ref="A261:XFD262" action="insertRow"/>
  <rm rId="4223" sheetId="1" source="A345:XFD346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24" sId="1" ref="A345:XFD345" action="deleteRow">
    <rfmt sheetId="1" xfDxf="1" sqref="A345:XFD345" start="0" length="0">
      <dxf>
        <font>
          <name val="Times New Roman CYR"/>
          <family val="1"/>
        </font>
        <alignment wrapText="1"/>
      </dxf>
    </rfmt>
  </rrc>
  <rrc rId="4225" sId="1" ref="A345:XFD345" action="deleteRow">
    <rfmt sheetId="1" xfDxf="1" sqref="A345:XFD345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функцион.структура!$A$1:$F$478</formula>
    <oldFormula>функцион.структура!$A$1:$F$478</oldFormula>
  </rdn>
  <rdn rId="0" localSheetId="1" customView="1" name="Z_629918FE_B1DF_464A_BF50_03D18729BC02_.wvu.FilterData" hidden="1" oldHidden="1">
    <formula>функцион.структура!$A$13:$F$485</formula>
    <oldFormula>функцион.структура!$A$13:$F$485</oldFormula>
  </rdn>
  <rcv guid="{629918FE-B1DF-464A-BF50-03D18729BC02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7" sId="1" numFmtId="4">
    <oc r="F32">
      <v>748.9</v>
    </oc>
    <nc r="F32">
      <v>971.9</v>
    </nc>
  </rcc>
  <rcc rId="808" sId="1" numFmtId="4">
    <oc r="F33">
      <v>10</v>
    </oc>
    <nc r="F33">
      <v>5</v>
    </nc>
  </rcc>
  <rcc rId="809" sId="1" numFmtId="4">
    <oc r="F34">
      <v>226.2</v>
    </oc>
    <nc r="F34">
      <v>293.5</v>
    </nc>
  </rcc>
  <rcc rId="810" sId="1" numFmtId="4">
    <oc r="F35">
      <v>27.5</v>
    </oc>
    <nc r="F35">
      <v>31.2</v>
    </nc>
  </rcc>
  <rcc rId="811" sId="1" numFmtId="4">
    <oc r="F38">
      <v>1149.7</v>
    </oc>
    <nc r="F38">
      <v>1491.9</v>
    </nc>
  </rcc>
  <rcc rId="812" sId="1" numFmtId="4">
    <oc r="F39">
      <v>347.2</v>
    </oc>
    <nc r="F39">
      <v>450.5</v>
    </nc>
  </rcc>
  <rcc rId="813" sId="1" numFmtId="4">
    <oc r="F23">
      <v>1437</v>
    </oc>
    <nc r="F23">
      <v>1864.7</v>
    </nc>
  </rcc>
  <rcc rId="814" sId="1" numFmtId="4">
    <oc r="F24">
      <v>434</v>
    </oc>
    <nc r="F24">
      <v>563.1</v>
    </nc>
  </rcc>
  <rcc rId="815" sId="1" numFmtId="4">
    <oc r="F44">
      <v>7817.1</v>
    </oc>
    <nc r="F44">
      <v>10215.700000000001</v>
    </nc>
  </rcc>
  <rcc rId="816" sId="1" numFmtId="4">
    <oc r="F45">
      <v>2360.8000000000002</v>
    </oc>
    <nc r="F45">
      <v>3085.1</v>
    </nc>
  </rcc>
  <rcc rId="817" sId="1" numFmtId="4">
    <oc r="F46">
      <v>7.6</v>
    </oc>
    <nc r="F46">
      <v>36</v>
    </nc>
  </rcc>
  <rcc rId="818" sId="1" numFmtId="4">
    <oc r="F59">
      <v>3548.3</v>
    </oc>
    <nc r="F59">
      <f>4846.7</f>
    </nc>
  </rcc>
  <rcc rId="819" sId="1" numFmtId="4">
    <oc r="F61">
      <v>1071.5999999999999</v>
    </oc>
    <nc r="F61">
      <f>1463.7</f>
    </nc>
  </rcc>
  <rcc rId="820" sId="1" numFmtId="4">
    <oc r="F62">
      <v>1186.7</v>
    </oc>
    <nc r="F62">
      <v>1199.5</v>
    </nc>
  </rcc>
  <rcc rId="821" sId="1">
    <oc r="F63">
      <f>242.1+3</f>
    </oc>
    <nc r="F63">
      <f>469.4+35.30322</f>
    </nc>
  </rcc>
  <rcc rId="822" sId="1" numFmtId="4">
    <oc r="F91">
      <v>3155.4</v>
    </oc>
    <nc r="F91">
      <v>4119.5</v>
    </nc>
  </rcc>
  <rcc rId="823" sId="1" numFmtId="4">
    <oc r="F92">
      <v>0.8</v>
    </oc>
    <nc r="F92">
      <v>0</v>
    </nc>
  </rcc>
  <rcc rId="824" sId="1" numFmtId="4">
    <oc r="F93">
      <v>952.9</v>
    </oc>
    <nc r="F93">
      <v>1244.0999999999999</v>
    </nc>
  </rcc>
  <rcc rId="825" sId="1" numFmtId="4">
    <oc r="F95">
      <v>88.4</v>
    </oc>
    <nc r="F95">
      <v>149.4</v>
    </nc>
  </rcc>
  <rcc rId="826" sId="1" numFmtId="4">
    <oc r="F96">
      <v>21</v>
    </oc>
    <nc r="F96">
      <v>28.2</v>
    </nc>
  </rcc>
  <rcc rId="827" sId="1">
    <oc r="F132">
      <f>2103.6+481.1+459+5689.1</f>
    </oc>
    <nc r="F132">
      <f>2727.8+481.1+459</f>
    </nc>
  </rcc>
  <rcc rId="828" sId="1" numFmtId="4">
    <oc r="F134">
      <v>86.4</v>
    </oc>
    <nc r="F134">
      <v>172.8</v>
    </nc>
  </rcc>
  <rcc rId="829" sId="1" numFmtId="4">
    <oc r="F137">
      <v>10210.9</v>
    </oc>
    <nc r="F137">
      <v>12790.3</v>
    </nc>
  </rcc>
  <rcc rId="830" sId="1" numFmtId="4">
    <oc r="F138">
      <v>100</v>
    </oc>
    <nc r="F138">
      <v>150</v>
    </nc>
  </rcc>
  <rcc rId="831" sId="1" numFmtId="4">
    <oc r="F139">
      <v>3083.7</v>
    </oc>
    <nc r="F139">
      <v>3862.7</v>
    </nc>
  </rcc>
  <rcc rId="832" sId="1">
    <oc r="F140">
      <f>360+20+7.5+30+23.8</f>
    </oc>
    <nc r="F140">
      <f>540+20+22.5+30+71.3</f>
    </nc>
  </rcc>
  <rcc rId="833" sId="1">
    <oc r="F141">
      <f>150+4095.4</f>
    </oc>
    <nc r="F141">
      <f>4702.9+50+73.6</f>
    </nc>
  </rcc>
  <rcc rId="834" sId="1" numFmtId="4">
    <oc r="F142">
      <f>318+900</f>
    </oc>
    <nc r="F142">
      <v>1522.5</v>
    </nc>
  </rcc>
  <rcc rId="835" sId="1" numFmtId="4">
    <oc r="F177">
      <v>872</v>
    </oc>
    <nc r="F177">
      <v>1103</v>
    </nc>
  </rcc>
  <rcc rId="836" sId="1" numFmtId="4">
    <oc r="F178">
      <v>263.39999999999998</v>
    </oc>
    <nc r="F178">
      <v>333.1</v>
    </nc>
  </rcc>
  <rcc rId="837" sId="1" numFmtId="4">
    <oc r="F179">
      <v>19.399999999999999</v>
    </oc>
    <nc r="F179">
      <v>54</v>
    </nc>
  </rcc>
  <rcc rId="838" sId="1">
    <oc r="F180">
      <f>9.5+622.2</f>
    </oc>
    <nc r="F180">
      <f>14+622.2</f>
    </nc>
  </rcc>
  <rcc rId="839" sId="1">
    <oc r="F223">
      <f>9677.7+1075.3</f>
    </oc>
    <nc r="F223">
      <f>9677.7</f>
    </nc>
  </rcc>
  <rcc rId="840" sId="1" numFmtId="4">
    <oc r="F419">
      <v>2000</v>
    </oc>
    <nc r="F419">
      <f>2000+365.4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8" sId="1">
    <oc r="E262" t="inlineStr">
      <is>
        <t>612</t>
      </is>
    </oc>
    <nc r="E262" t="inlineStr">
      <is>
        <t>611</t>
      </is>
    </nc>
  </rcc>
  <rcc rId="4229" sId="1" odxf="1" dxf="1">
    <oc r="A262" t="inlineStr">
      <is>
        <t>Субсидии бюджетным учреждениям на иные цели</t>
      </is>
    </oc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0" sId="1">
    <oc r="G41">
      <v>125</v>
    </oc>
    <nc r="G41"/>
  </rcc>
  <rcc rId="4231" sId="1">
    <oc r="G54">
      <v>50</v>
    </oc>
    <nc r="G54"/>
  </rcc>
  <rcc rId="4232" sId="1">
    <oc r="G85">
      <v>50</v>
    </oc>
    <nc r="G85"/>
  </rcc>
  <rcc rId="4233" sId="1">
    <oc r="G86">
      <v>50</v>
    </oc>
    <nc r="G86"/>
  </rcc>
  <rcc rId="4234" sId="1">
    <oc r="G89">
      <v>200</v>
    </oc>
    <nc r="G89"/>
  </rcc>
  <rcc rId="4235" sId="1">
    <oc r="G166">
      <v>17.3</v>
    </oc>
    <nc r="G166"/>
  </rcc>
  <rcc rId="4236" sId="1">
    <oc r="G167">
      <v>50</v>
    </oc>
    <nc r="G167"/>
  </rcc>
  <rcc rId="4237" sId="1">
    <oc r="G185">
      <v>150</v>
    </oc>
    <nc r="G185"/>
  </rcc>
  <rcc rId="4238" sId="1">
    <oc r="G211">
      <v>150</v>
    </oc>
    <nc r="G211"/>
  </rcc>
  <rcc rId="4239" sId="1">
    <oc r="G287">
      <v>100</v>
    </oc>
    <nc r="G287"/>
  </rcc>
  <rcc rId="4240" sId="1">
    <oc r="G304">
      <v>7.7</v>
    </oc>
    <nc r="G304"/>
  </rcc>
  <rcc rId="4241" sId="1">
    <oc r="G342">
      <v>50</v>
    </oc>
    <nc r="G342"/>
  </rcc>
  <rcc rId="4242" sId="1">
    <oc r="G378">
      <v>150</v>
    </oc>
    <nc r="G378"/>
  </rcc>
  <rcc rId="4243" sId="1">
    <oc r="G392">
      <v>50</v>
    </oc>
    <nc r="G392"/>
  </rcc>
  <rcc rId="4244" sId="1">
    <oc r="G393">
      <v>50</v>
    </oc>
    <nc r="G393"/>
  </rcc>
  <rcc rId="4245" sId="1">
    <oc r="H405">
      <f>F397+F393+F386+F383+F378+F368+F363+F361+F357+F353+F286+F273+F265</f>
    </oc>
    <nc r="H405"/>
  </rcc>
  <rcc rId="4246" sId="1">
    <oc r="G444">
      <v>150</v>
    </oc>
    <nc r="G444"/>
  </rcc>
  <rcc rId="4247" sId="1">
    <oc r="G467">
      <v>50</v>
    </oc>
    <nc r="G467"/>
  </rcc>
  <rcc rId="4248" sId="1">
    <oc r="G468">
      <v>50</v>
    </oc>
    <nc r="G468"/>
  </rcc>
  <rcc rId="4249" sId="1">
    <oc r="G478">
      <f>SUM(G14:G477)</f>
    </oc>
    <nc r="G478"/>
  </rcc>
  <rcc rId="4250" sId="1">
    <nc r="G282">
      <v>13857.7</v>
    </nc>
  </rcc>
  <rcc rId="4251" sId="1">
    <nc r="G368">
      <v>5374.1559999999999</v>
    </nc>
  </rcc>
  <rcc rId="4252" sId="1">
    <nc r="G374">
      <v>9722.6280000000006</v>
    </nc>
  </rcc>
  <rcc rId="4253" sId="1">
    <nc r="G381">
      <v>5154.2160000000003</v>
    </nc>
  </rcc>
  <rcc rId="4254" sId="1">
    <nc r="G412">
      <v>2602.1999999999998</v>
    </nc>
  </rcc>
  <rcc rId="4255" sId="1">
    <nc r="G420">
      <v>1952.3</v>
    </nc>
  </rcc>
  <rcc rId="4256" sId="1">
    <nc r="G446">
      <v>881.2</v>
    </nc>
  </rcc>
  <rcc rId="4257" sId="1">
    <nc r="G456">
      <v>13287.4</v>
    </nc>
  </rcc>
  <rcc rId="4258" sId="1">
    <nc r="G310">
      <v>100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59" sId="1" ref="A375:XFD375" action="insertRow"/>
  <rrc rId="4260" sId="1" ref="A375:XFD375" action="insertRow"/>
  <rrc rId="4261" sId="1" ref="A375:XFD375" action="insertRow"/>
  <rcc rId="4262" sId="1">
    <nc r="E377" t="inlineStr">
      <is>
        <t>621</t>
      </is>
    </nc>
  </rcc>
  <rcc rId="4263" sId="1">
    <nc r="A37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264" sId="1">
    <nc r="B377" t="inlineStr">
      <is>
        <t>08</t>
      </is>
    </nc>
  </rcc>
  <rcc rId="4265" sId="1">
    <nc r="C377" t="inlineStr">
      <is>
        <t>01</t>
      </is>
    </nc>
  </rcc>
  <rcc rId="4266" sId="1">
    <nc r="D377" t="inlineStr">
      <is>
        <t>08201 L5760</t>
      </is>
    </nc>
  </rcc>
  <rcc rId="4267" sId="1">
    <nc r="F377">
      <f>110292.9+2250.9+565.6</f>
    </nc>
  </rcc>
  <rcc rId="4268" sId="1">
    <nc r="E376" t="inlineStr">
      <is>
        <t>540</t>
      </is>
    </nc>
  </rcc>
  <rcc rId="4269" sId="1">
    <nc r="B376" t="inlineStr">
      <is>
        <t>08</t>
      </is>
    </nc>
  </rcc>
  <rcc rId="4270" sId="1">
    <nc r="C376" t="inlineStr">
      <is>
        <t>01</t>
      </is>
    </nc>
  </rcc>
  <rcc rId="4271" sId="1">
    <nc r="D376" t="inlineStr">
      <is>
        <t>08201 L5760</t>
      </is>
    </nc>
  </rcc>
  <rcc rId="4272" sId="1">
    <nc r="F376">
      <f>125891.7+2569.3+656.4</f>
    </nc>
  </rcc>
  <rcc rId="4273" sId="1" xfDxf="1" dxf="1">
    <nc r="A376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274" sId="1">
    <nc r="F375">
      <f>F376+F377</f>
    </nc>
  </rcc>
  <rcc rId="4275" sId="1" odxf="1" dxf="1">
    <nc r="B375" t="inlineStr">
      <is>
        <t>08</t>
      </is>
    </nc>
    <odxf/>
    <ndxf/>
  </rcc>
  <rcc rId="4276" sId="1" odxf="1" dxf="1">
    <nc r="C375" t="inlineStr">
      <is>
        <t>01</t>
      </is>
    </nc>
    <odxf/>
    <ndxf/>
  </rcc>
  <rcc rId="4277" sId="1" odxf="1" dxf="1">
    <nc r="D375" t="inlineStr">
      <is>
        <t>08201 L5760</t>
      </is>
    </nc>
    <odxf/>
    <ndxf/>
  </rcc>
  <rcc rId="4278" sId="1" xfDxf="1" dxf="1">
    <nc r="A375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75:F375" start="0" length="2147483647">
    <dxf>
      <font>
        <i/>
      </font>
    </dxf>
  </rfmt>
  <rcc rId="4279" sId="1">
    <oc r="F370">
      <f>F373+F371</f>
    </oc>
    <nc r="F370">
      <f>F373+F371+F375</f>
    </nc>
  </rcc>
  <rcc rId="4280" sId="1">
    <nc r="G375">
      <v>241004.79999999999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функцион.структура!$A$1:$F$481</formula>
    <oldFormula>функцион.структура!$A$1:$F$481</oldFormula>
  </rdn>
  <rdn rId="0" localSheetId="1" customView="1" name="Z_629918FE_B1DF_464A_BF50_03D18729BC02_.wvu.FilterData" hidden="1" oldHidden="1">
    <formula>функцион.структура!$A$13:$F$488</formula>
    <oldFormula>функцион.структура!$A$13:$F$488</oldFormula>
  </rdn>
  <rcv guid="{629918FE-B1DF-464A-BF50-03D18729BC02}" action="add"/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3" sId="1" numFmtId="4">
    <oc r="F19">
      <v>1949.6</v>
    </oc>
    <nc r="F19">
      <v>2034.3</v>
    </nc>
  </rcc>
  <rcc rId="4284" sId="1" numFmtId="4">
    <oc r="F20">
      <v>588.79999999999995</v>
    </oc>
    <nc r="F20">
      <v>614.4</v>
    </nc>
  </rcc>
  <rcc rId="4285" sId="1" numFmtId="4">
    <oc r="F32">
      <v>1559.8</v>
    </oc>
    <nc r="F32">
      <v>1627.5</v>
    </nc>
  </rcc>
  <rcc rId="4286" sId="1" numFmtId="4">
    <oc r="F34">
      <v>471.1</v>
    </oc>
    <nc r="F34">
      <v>491.5</v>
    </nc>
  </rcc>
  <rcc rId="4287" sId="1" numFmtId="4">
    <oc r="F33">
      <v>100</v>
    </oc>
    <nc r="F33">
      <v>200</v>
    </nc>
  </rcc>
  <rcc rId="4288" sId="1" numFmtId="4">
    <oc r="F30">
      <v>100</v>
    </oc>
    <nc r="F30">
      <v>200</v>
    </nc>
  </rcc>
  <rcc rId="4289" sId="1" numFmtId="4">
    <oc r="F28">
      <v>1016.7</v>
    </oc>
    <nc r="F28">
      <v>1060.9000000000001</v>
    </nc>
  </rcc>
  <rcc rId="4290" sId="1" numFmtId="4">
    <oc r="F29">
      <v>307</v>
    </oc>
    <nc r="F29">
      <v>320.39999999999998</v>
    </nc>
  </rcc>
  <rrc rId="4291" sId="1" ref="A29:XFD29" action="insertRow"/>
  <rcc rId="4292" sId="1">
    <nc r="B29" t="inlineStr">
      <is>
        <t>01</t>
      </is>
    </nc>
  </rcc>
  <rcc rId="4293" sId="1">
    <nc r="C29" t="inlineStr">
      <is>
        <t>03</t>
      </is>
    </nc>
  </rcc>
  <rcc rId="4294" sId="1">
    <nc r="D29" t="inlineStr">
      <is>
        <t>99900 81020</t>
      </is>
    </nc>
  </rcc>
  <rcc rId="4295" sId="1">
    <nc r="E29" t="inlineStr">
      <is>
        <t>122</t>
      </is>
    </nc>
  </rcc>
  <rcc rId="4296" sId="1" numFmtId="4">
    <nc r="F29">
      <v>100</v>
    </nc>
  </rcc>
  <rcc rId="4297" sId="1">
    <oc r="F27">
      <f>SUM(F28:F31)</f>
    </oc>
    <nc r="F27">
      <f>SUM(F28:F31)</f>
    </nc>
  </rcc>
  <rfmt sheetId="1" sqref="A29">
    <dxf>
      <fill>
        <patternFill>
          <bgColor rgb="FFFFFF00"/>
        </patternFill>
      </fill>
    </dxf>
  </rfmt>
  <rrc rId="4298" sId="1" ref="A31:XFD31" action="insertRow"/>
  <rcc rId="4299" sId="1">
    <nc r="A3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00" sId="1">
    <nc r="B31" t="inlineStr">
      <is>
        <t>01</t>
      </is>
    </nc>
  </rcc>
  <rcc rId="4301" sId="1">
    <nc r="C31" t="inlineStr">
      <is>
        <t>03</t>
      </is>
    </nc>
  </rcc>
  <rcc rId="4302" sId="1">
    <nc r="D31" t="inlineStr">
      <is>
        <t>99900 81020</t>
      </is>
    </nc>
  </rcc>
  <rcc rId="4303" sId="1">
    <nc r="E31" t="inlineStr">
      <is>
        <t>242</t>
      </is>
    </nc>
  </rcc>
  <rcc rId="4304" sId="1" numFmtId="4">
    <nc r="F31">
      <f>25+8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функцион.структура!$A$1:$F$483</formula>
    <oldFormula>функцион.структура!$A$1:$F$483</oldFormula>
  </rdn>
  <rdn rId="0" localSheetId="1" customView="1" name="Z_629918FE_B1DF_464A_BF50_03D18729BC02_.wvu.FilterData" hidden="1" oldHidden="1">
    <formula>функцион.структура!$A$13:$F$490</formula>
    <oldFormula>функцион.структура!$A$13:$F$490</oldFormula>
  </rdn>
  <rcv guid="{629918FE-B1DF-464A-BF50-03D18729BC02}" action="add"/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7" sId="1">
    <oc r="A3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oc>
    <nc r="A31" t="inlineStr">
      <is>
        <t>Закупка товаров, работ и услуг в сфере информационно-коммуникационных технологий</t>
      </is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8" sId="1" numFmtId="4">
    <oc r="F41">
      <v>10623.4</v>
    </oc>
    <nc r="F41">
      <v>10855.5</v>
    </nc>
  </rcc>
  <rcc rId="4309" sId="1" numFmtId="4">
    <oc r="F42">
      <v>3208.2</v>
    </oc>
    <nc r="F42">
      <v>3278.4</v>
    </nc>
  </rcc>
  <rrc rId="4310" sId="1" ref="A43:XFD43" action="insertRow"/>
  <rfmt sheetId="1" sqref="A43" start="0" length="0">
    <dxf>
      <border outline="0">
        <left style="thin">
          <color indexed="64"/>
        </left>
      </border>
    </dxf>
  </rfmt>
  <rcc rId="4311" sId="1">
    <nc r="B43" t="inlineStr">
      <is>
        <t>01</t>
      </is>
    </nc>
  </rcc>
  <rcc rId="4312" sId="1">
    <nc r="C43" t="inlineStr">
      <is>
        <t>04</t>
      </is>
    </nc>
  </rcc>
  <rcc rId="4313" sId="1">
    <nc r="D43" t="inlineStr">
      <is>
        <t>99900 81020</t>
      </is>
    </nc>
  </rcc>
  <rcc rId="4314" sId="1">
    <nc r="E43" t="inlineStr">
      <is>
        <t>242</t>
      </is>
    </nc>
  </rcc>
  <rcc rId="4315" sId="1" numFmtId="4">
    <nc r="F43">
      <v>8</v>
    </nc>
  </rcc>
  <rcc rId="4316" sId="1">
    <nc r="A43" t="inlineStr">
      <is>
        <t>Закупка товаров, работ и услуг в сфере информационно-коммуникационных технологий</t>
      </is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7" sId="1" numFmtId="4">
    <oc r="F85">
      <v>4289.7</v>
    </oc>
    <nc r="F85">
      <v>4491.7</v>
    </nc>
  </rcc>
  <rcc rId="4318" sId="1" numFmtId="4">
    <oc r="F86">
      <v>1295.5</v>
    </oc>
    <nc r="F86">
      <v>1356.5</v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9" sId="1" numFmtId="4">
    <oc r="F54">
      <v>4920.6000000000004</v>
    </oc>
    <nc r="F54">
      <v>5263</v>
    </nc>
  </rcc>
  <rcc rId="4320" sId="1" numFmtId="4">
    <oc r="F55">
      <v>1486</v>
    </oc>
    <nc r="F55">
      <v>1589.4</v>
    </nc>
  </rcc>
  <rrc rId="4321" sId="1" ref="A55:XFD55" action="insertRow"/>
  <rcc rId="4322" sId="1">
    <nc r="B55" t="inlineStr">
      <is>
        <t>01</t>
      </is>
    </nc>
  </rcc>
  <rcc rId="4323" sId="1">
    <nc r="C55" t="inlineStr">
      <is>
        <t>06</t>
      </is>
    </nc>
  </rcc>
  <rcc rId="4324" sId="1">
    <nc r="D55" t="inlineStr">
      <is>
        <t>02101 81020</t>
      </is>
    </nc>
  </rcc>
  <rcc rId="4325" sId="1">
    <nc r="E55" t="inlineStr">
      <is>
        <t>122</t>
      </is>
    </nc>
  </rcc>
  <rcc rId="4326" sId="1" numFmtId="4">
    <nc r="F55">
      <v>100</v>
    </nc>
  </rcc>
  <rcc rId="4327" sId="1" xfDxf="1" dxf="1">
    <nc r="A29" t="inlineStr">
      <is>
        <t>Иные выплаты персоналу государственных (муниципальных) органов, за исключением фонда оплаты труда</t>
      </is>
    </nc>
    <n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9">
    <dxf>
      <fill>
        <patternFill>
          <bgColor theme="0"/>
        </patternFill>
      </fill>
    </dxf>
  </rfmt>
  <rcc rId="4328" sId="1" xfDxf="1" dxf="1">
    <nc r="A55" t="inlineStr">
      <is>
        <t>Иные выплаты персоналу государственных (муниципальных) органов, за 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29" sId="1" numFmtId="4">
    <oc r="F57">
      <f>121.9+0.34</f>
    </oc>
    <nc r="F57">
      <v>1480.2</v>
    </nc>
  </rcc>
  <rcc rId="4330" sId="1" numFmtId="4">
    <oc r="F58">
      <f>50+50</f>
    </oc>
    <nc r="F58">
      <v>671.8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функцион.структура!$A$1:$F$485</formula>
    <oldFormula>функцион.структура!$A$1:$F$485</oldFormula>
  </rdn>
  <rdn rId="0" localSheetId="1" customView="1" name="Z_629918FE_B1DF_464A_BF50_03D18729BC02_.wvu.FilterData" hidden="1" oldHidden="1">
    <formula>функцион.структура!$A$13:$F$492</formula>
    <oldFormula>функцион.структура!$A$13:$F$492</oldFormula>
  </rdn>
  <rcv guid="{629918FE-B1DF-464A-BF50-03D18729BC02}" action="add"/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33" sId="1" numFmtId="4">
    <oc r="F66">
      <v>400</v>
    </oc>
    <nc r="F66">
      <v>500</v>
    </nc>
  </rcc>
  <rcc rId="4334" sId="1" numFmtId="4">
    <oc r="F71">
      <v>50</v>
    </oc>
    <nc r="F71">
      <v>100</v>
    </nc>
  </rcc>
  <rcc rId="4335" sId="1" numFmtId="4">
    <oc r="F143">
      <v>1000</v>
    </oc>
    <nc r="F143">
      <v>1500</v>
    </nc>
  </rcc>
  <rcc rId="4336" sId="1" numFmtId="4">
    <oc r="F149">
      <v>50</v>
    </oc>
    <nc r="F149">
      <v>100</v>
    </nc>
  </rcc>
  <rcc rId="4337" sId="1" numFmtId="4">
    <oc r="F168">
      <v>1379.3</v>
    </oc>
    <nc r="F168">
      <v>1148.0999999999999</v>
    </nc>
  </rcc>
  <rcc rId="4338" sId="1" numFmtId="4">
    <oc r="F169">
      <v>416.5</v>
    </oc>
    <nc r="F169">
      <v>346.7</v>
    </nc>
  </rcc>
  <rrc rId="4339" sId="1" ref="A169:XFD169" action="insertRow"/>
  <rcc rId="4340" sId="1">
    <nc r="B169" t="inlineStr">
      <is>
        <t>04</t>
      </is>
    </nc>
  </rcc>
  <rcc rId="4341" sId="1">
    <nc r="C169" t="inlineStr">
      <is>
        <t>05</t>
      </is>
    </nc>
  </rcc>
  <rcc rId="4342" sId="1">
    <nc r="D169" t="inlineStr">
      <is>
        <t>99900 83510</t>
      </is>
    </nc>
  </rcc>
  <rcc rId="4343" sId="1">
    <nc r="E169" t="inlineStr">
      <is>
        <t>112</t>
      </is>
    </nc>
  </rcc>
  <rcc rId="4344" sId="1" numFmtId="4">
    <nc r="F169">
      <v>30</v>
    </nc>
  </rcc>
  <rfmt sheetId="1" sqref="A169">
    <dxf>
      <fill>
        <patternFill patternType="solid">
          <bgColor rgb="FFFFFF00"/>
        </patternFill>
      </fill>
    </dxf>
  </rfmt>
  <rcc rId="4345" sId="1" numFmtId="4">
    <oc r="F171">
      <v>17.3</v>
    </oc>
    <nc r="F171">
      <v>55.8</v>
    </nc>
  </rcc>
  <rcc rId="4346" sId="1" numFmtId="4">
    <oc r="F172">
      <v>50</v>
    </oc>
    <nc r="F172">
      <v>17.899999999999999</v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7" sId="1" numFmtId="4">
    <oc r="F129">
      <f>1975.5+596.6+42.3</f>
    </oc>
    <nc r="F129">
      <v>2713.7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1" sId="1" odxf="1" dxf="1" numFmtId="4">
    <oc r="F497">
      <v>25</v>
    </oc>
    <nc r="F497">
      <f>17.15178+5</f>
    </nc>
    <odxf/>
    <ndxf/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8" sId="1">
    <oc r="F177">
      <f>88690.2</f>
    </oc>
    <nc r="F177"/>
  </rcc>
  <rfmt sheetId="1" sqref="F177">
    <dxf>
      <fill>
        <patternFill>
          <bgColor theme="0"/>
        </patternFill>
      </fill>
    </dxf>
  </rfmt>
  <rcc rId="4349" sId="1" numFmtId="4">
    <oc r="F216">
      <v>150</v>
    </oc>
    <nc r="F216">
      <v>300</v>
    </nc>
  </rcc>
  <rfmt sheetId="1" sqref="F221">
    <dxf>
      <fill>
        <patternFill>
          <bgColor theme="0"/>
        </patternFill>
      </fill>
    </dxf>
  </rfmt>
  <rfmt sheetId="1" sqref="F232">
    <dxf>
      <fill>
        <patternFill>
          <bgColor theme="0"/>
        </patternFill>
      </fill>
    </dxf>
  </rfmt>
  <rfmt sheetId="1" sqref="F234">
    <dxf>
      <fill>
        <patternFill>
          <bgColor theme="0"/>
        </patternFill>
      </fill>
    </dxf>
  </rfmt>
  <rcc rId="4350" sId="1" numFmtId="4">
    <oc r="F411">
      <v>2423.6999999999998</v>
    </oc>
    <nc r="F411">
      <v>5249.2</v>
    </nc>
  </rcc>
  <rcc rId="4351" sId="1">
    <oc r="F416">
      <f>6766+138.1</f>
    </oc>
    <nc r="F416">
      <f>6766+138.1+86.30068</f>
    </nc>
  </rcc>
  <rfmt sheetId="1" sqref="A416:F416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7">
    <dxf>
      <fill>
        <patternFill>
          <bgColor theme="0"/>
        </patternFill>
      </fill>
    </dxf>
  </rfmt>
  <rrc rId="4352" sId="1" ref="A229:XFD229" action="insertRow"/>
  <rrc rId="4353" sId="1" ref="A229:XFD229" action="insertRow"/>
  <rrc rId="4354" sId="1" ref="A230:XFD230" action="insertRow"/>
  <rcc rId="4355" sId="1" odxf="1" dxf="1">
    <nc r="A229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356" sId="1" odxf="1" dxf="1">
    <nc r="B22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29" start="0" length="0">
    <dxf>
      <font>
        <b/>
        <name val="Times New Roman"/>
        <family val="1"/>
      </font>
    </dxf>
  </rfmt>
  <rcc rId="4357" sId="1" odxf="1" dxf="1">
    <nc r="D22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29" start="0" length="0">
    <dxf>
      <font>
        <b/>
        <name val="Times New Roman"/>
        <family val="1"/>
      </font>
    </dxf>
  </rfmt>
  <rfmt sheetId="1" sqref="F22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358" sId="1" odxf="1" dxf="1">
    <nc r="A23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359" sId="1" odxf="1" dxf="1">
    <nc r="B23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30" start="0" length="0">
    <dxf>
      <font>
        <i/>
        <name val="Times New Roman"/>
        <family val="1"/>
      </font>
    </dxf>
  </rfmt>
  <rcc rId="4360" sId="1" odxf="1" dxf="1">
    <nc r="D230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4361" sId="1" odxf="1" dxf="1">
    <nc r="F230">
      <f>F231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362" sId="1">
    <nc r="A231" t="inlineStr">
      <is>
        <t>Иные межбюджетные трансферты</t>
      </is>
    </nc>
  </rcc>
  <rcc rId="4363" sId="1">
    <nc r="B231" t="inlineStr">
      <is>
        <t>05</t>
      </is>
    </nc>
  </rcc>
  <rfmt sheetId="1" sqref="F231" start="0" length="0">
    <dxf>
      <fill>
        <patternFill>
          <bgColor theme="0"/>
        </patternFill>
      </fill>
    </dxf>
  </rfmt>
  <rcc rId="4364" sId="1">
    <nc r="C229" t="inlineStr">
      <is>
        <t>03</t>
      </is>
    </nc>
  </rcc>
  <rcc rId="4365" sId="1">
    <nc r="C230" t="inlineStr">
      <is>
        <t>03</t>
      </is>
    </nc>
  </rcc>
  <rcc rId="4366" sId="1">
    <nc r="C231" t="inlineStr">
      <is>
        <t>03</t>
      </is>
    </nc>
  </rcc>
  <rcc rId="4367" sId="1">
    <nc r="D231" t="inlineStr">
      <is>
        <t>99900 82900</t>
      </is>
    </nc>
  </rcc>
  <rcc rId="4368" sId="1">
    <nc r="E231" t="inlineStr">
      <is>
        <t>622</t>
      </is>
    </nc>
  </rcc>
  <rcc rId="4369" sId="1" numFmtId="4">
    <nc r="F231">
      <v>3100</v>
    </nc>
  </rcc>
  <rcc rId="4370" sId="1">
    <nc r="F229">
      <f>F230</f>
    </nc>
  </rcc>
  <rcc rId="4371" sId="1">
    <oc r="F224">
      <f>F225</f>
    </oc>
    <nc r="F224">
      <f>F225+F229</f>
    </nc>
  </rcc>
  <rfmt sheetId="1" sqref="F228">
    <dxf>
      <fill>
        <patternFill>
          <bgColor theme="0"/>
        </patternFill>
      </fill>
    </dxf>
  </rfmt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2" sId="1" odxf="1" dxf="1">
    <oc r="D230" t="inlineStr">
      <is>
        <t>999F2 54240</t>
      </is>
    </oc>
    <nc r="D230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373" sId="1" xfDxf="1" dxf="1">
    <oc r="A23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oc>
    <nc r="A230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74" sId="1" odxf="1" dxf="1">
    <oc r="A231" t="inlineStr">
      <is>
        <t>Иные межбюджетные трансферты</t>
      </is>
    </oc>
    <nc r="A23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A230:F230" start="0" length="2147483647">
    <dxf>
      <font>
        <i val="0"/>
      </font>
    </dxf>
  </rfmt>
  <rfmt sheetId="1" sqref="A230:F230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функцион.структура!$A$1:$F$489</formula>
    <oldFormula>функцион.структура!$A$1:$F$489</oldFormula>
  </rdn>
  <rdn rId="0" localSheetId="1" customView="1" name="Z_629918FE_B1DF_464A_BF50_03D18729BC02_.wvu.FilterData" hidden="1" oldHidden="1">
    <formula>функцион.структура!$A$13:$F$496</formula>
    <oldFormula>функцион.структура!$A$13:$F$496</oldFormula>
  </rdn>
  <rcv guid="{629918FE-B1DF-464A-BF50-03D18729BC02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7" sId="1">
    <nc r="G48">
      <v>22.1</v>
    </nc>
  </rcc>
  <rcc rId="4378" sId="1">
    <nc r="G74">
      <v>208</v>
    </nc>
  </rcc>
  <rcc rId="4379" sId="1">
    <nc r="G112">
      <v>500</v>
    </nc>
  </rcc>
  <rcc rId="4380" sId="1">
    <nc r="G113">
      <v>616.29999999999995</v>
    </nc>
  </rcc>
  <rcc rId="4381" sId="1">
    <nc r="G118">
      <v>730.6</v>
    </nc>
  </rcc>
  <rcc rId="4382" sId="1">
    <nc r="G123">
      <v>474.9</v>
    </nc>
  </rcc>
  <rcc rId="4383" sId="1">
    <nc r="G152">
      <v>311</v>
    </nc>
  </rcc>
  <rcc rId="4384" sId="1">
    <nc r="G153">
      <v>1.7</v>
    </nc>
  </rcc>
  <rcc rId="4385" sId="1">
    <nc r="G156">
      <v>146.69999999999999</v>
    </nc>
  </rcc>
  <rcc rId="4386" sId="1">
    <nc r="G158">
      <v>60.7</v>
    </nc>
  </rcc>
  <rcc rId="4387" sId="1">
    <nc r="G161">
      <v>4047.7</v>
    </nc>
  </rcc>
  <rcc rId="4388" sId="1">
    <nc r="G163">
      <v>22</v>
    </nc>
  </rcc>
  <rcc rId="4389" sId="1">
    <nc r="G179">
      <v>100713.9</v>
    </nc>
  </rcc>
  <rcc rId="4390" sId="1">
    <nc r="G181">
      <v>374.3</v>
    </nc>
  </rcc>
  <rcc rId="4391" sId="1">
    <nc r="G192">
      <v>367.6</v>
    </nc>
  </rcc>
  <rcc rId="4392" sId="1">
    <nc r="G194">
      <v>200</v>
    </nc>
  </rcc>
  <rcc rId="4393" sId="1">
    <nc r="G203">
      <v>400</v>
    </nc>
  </rcc>
  <rcc rId="4394" sId="1">
    <nc r="G210">
      <v>3.2</v>
    </nc>
  </rcc>
  <rcc rId="4395" sId="1">
    <nc r="G219">
      <v>51127.3</v>
    </nc>
  </rcc>
  <rcc rId="4396" sId="1">
    <nc r="G221">
      <v>13510</v>
    </nc>
  </rcc>
  <rcc rId="4397" sId="1">
    <nc r="G228">
      <v>15139</v>
    </nc>
  </rcc>
  <rcc rId="4398" sId="1">
    <nc r="G231">
      <v>3100</v>
    </nc>
  </rcc>
  <rcc rId="4399" sId="1">
    <nc r="G235">
      <v>85000</v>
    </nc>
  </rcc>
  <rcc rId="4400" sId="1">
    <nc r="G237">
      <v>30075.599999999999</v>
    </nc>
  </rcc>
  <rcc rId="4401" sId="1">
    <nc r="G244">
      <v>124184.7</v>
    </nc>
  </rcc>
  <rcc rId="4402" sId="1">
    <nc r="G246">
      <v>563</v>
    </nc>
  </rcc>
  <rcc rId="4403" sId="1">
    <nc r="G254">
      <v>31012</v>
    </nc>
  </rcc>
  <rcc rId="4404" sId="1">
    <nc r="G256">
      <v>256485.6</v>
    </nc>
  </rcc>
  <rcc rId="4405" sId="1">
    <nc r="G262">
      <v>29257.599999999999</v>
    </nc>
  </rcc>
  <rcc rId="4406" sId="1">
    <nc r="G264">
      <v>109531.5</v>
    </nc>
  </rcc>
  <rcc rId="4407" sId="1">
    <nc r="G266">
      <v>12321.9</v>
    </nc>
  </rcc>
  <rcc rId="4408" sId="1">
    <nc r="G268">
      <v>482.5</v>
    </nc>
  </rcc>
  <rcc rId="4409" sId="1">
    <nc r="G270">
      <v>4758</v>
    </nc>
  </rcc>
  <rcc rId="4410" sId="1">
    <nc r="G276">
      <v>2492.1</v>
    </nc>
  </rcc>
  <rcc rId="4411" sId="1">
    <nc r="G278">
      <v>20278.099999999999</v>
    </nc>
  </rcc>
  <rcc rId="4412" sId="1">
    <nc r="G280">
      <v>21144.1</v>
    </nc>
  </rcc>
  <rcc rId="4413" sId="1">
    <nc r="G282">
      <v>8280</v>
    </nc>
  </rcc>
  <rcc rId="4414" sId="1">
    <nc r="G298">
      <v>10159.152</v>
    </nc>
  </rcc>
  <rcc rId="4415" sId="1">
    <nc r="G299">
      <v>32170.648000000001</v>
    </nc>
  </rcc>
  <rcc rId="4416" sId="1">
    <nc r="G302">
      <v>83894.8</v>
    </nc>
  </rcc>
  <rcc rId="4417" sId="1">
    <nc r="G312">
      <v>386</v>
    </nc>
  </rcc>
  <rcc rId="4418" sId="1">
    <nc r="G327">
      <v>5352.5</v>
    </nc>
  </rcc>
  <rcc rId="4419" sId="1">
    <nc r="G329">
      <v>5578</v>
    </nc>
  </rcc>
  <rcc rId="4420" sId="1">
    <nc r="G330">
      <v>80.3</v>
    </nc>
  </rcc>
  <rcc rId="4421" sId="1">
    <nc r="G337">
      <v>83.7</v>
    </nc>
  </rcc>
  <rcc rId="4422" sId="1">
    <nc r="G342">
      <v>87.2</v>
    </nc>
  </rcc>
  <rcc rId="4423" sId="1">
    <nc r="G419">
      <v>6904.1</v>
    </nc>
  </rcc>
  <rcc rId="4424" sId="1">
    <nc r="G422">
      <v>4213</v>
    </nc>
  </rcc>
  <rcc rId="4425" sId="1">
    <nc r="G434">
      <v>1499</v>
    </nc>
  </rcc>
  <rcc rId="4426" sId="1">
    <nc r="G439">
      <v>2498.3000000000002</v>
    </nc>
  </rcc>
  <rcc rId="4427" sId="1">
    <nc r="G444">
      <v>323.89999999999998</v>
    </nc>
  </rcc>
  <rcc rId="4428" sId="1">
    <nc r="G488">
      <v>106.2</v>
    </nc>
  </rcc>
  <rcc rId="4429" sId="1">
    <nc r="G489">
      <f>SUM(G12:G488)</f>
    </nc>
  </rcc>
  <rfmt sheetId="1" sqref="G489">
    <dxf>
      <numFmt numFmtId="4" formatCode="#,##0.00"/>
    </dxf>
  </rfmt>
  <rfmt sheetId="1" sqref="F501" start="0" length="0">
    <dxf>
      <numFmt numFmtId="165" formatCode="0.00000"/>
    </dxf>
  </rfmt>
  <rcc rId="4430" sId="1" odxf="1" dxf="1">
    <nc r="F501">
      <f>F489-G489</f>
    </nc>
    <ndxf>
      <numFmt numFmtId="4" formatCode="#,##0.00"/>
    </ndxf>
  </rcc>
  <rfmt sheetId="1" sqref="F501">
    <dxf>
      <numFmt numFmtId="166" formatCode="#,##0.00000"/>
    </dxf>
  </rfmt>
  <rfmt sheetId="1" sqref="G489">
    <dxf>
      <numFmt numFmtId="166" formatCode="#,##0.00000"/>
    </dxf>
  </rfmt>
  <rrc rId="4431" sId="1" ref="A249:XFD249" action="insertRow"/>
  <rrc rId="4432" sId="1" ref="A249:XFD249" action="insertRow"/>
  <rfmt sheetId="1" sqref="A249" start="0" length="0">
    <dxf>
      <font>
        <i/>
        <name val="Times New Roman"/>
        <family val="1"/>
      </font>
    </dxf>
  </rfmt>
  <rfmt sheetId="1" sqref="B249" start="0" length="0">
    <dxf>
      <font>
        <i/>
        <name val="Times New Roman"/>
        <family val="1"/>
      </font>
    </dxf>
  </rfmt>
  <rfmt sheetId="1" sqref="C249" start="0" length="0">
    <dxf>
      <font>
        <i/>
        <name val="Times New Roman"/>
        <family val="1"/>
      </font>
    </dxf>
  </rfmt>
  <rfmt sheetId="1" sqref="D249" start="0" length="0">
    <dxf>
      <font>
        <i/>
        <name val="Times New Roman"/>
        <family val="1"/>
      </font>
    </dxf>
  </rfmt>
  <rfmt sheetId="1" sqref="E249" start="0" length="0">
    <dxf>
      <font>
        <i/>
        <name val="Times New Roman"/>
        <family val="1"/>
      </font>
    </dxf>
  </rfmt>
  <rfmt sheetId="1" sqref="F249" start="0" length="0">
    <dxf>
      <font>
        <i/>
        <name val="Times New Roman"/>
        <family val="1"/>
      </font>
    </dxf>
  </rfmt>
  <rcc rId="4433" sId="1">
    <nc r="A249" t="inlineStr">
      <is>
        <t>Софинансирование расходных обязательств муниципальных районов (городских округов)</t>
      </is>
    </nc>
  </rcc>
  <rcc rId="4434" sId="1">
    <nc r="B249" t="inlineStr">
      <is>
        <t>07</t>
      </is>
    </nc>
  </rcc>
  <rcc rId="4435" sId="1">
    <nc r="C249" t="inlineStr">
      <is>
        <t>01</t>
      </is>
    </nc>
  </rcc>
  <rcc rId="4436" sId="1">
    <nc r="D249" t="inlineStr">
      <is>
        <t>10101 S2160</t>
      </is>
    </nc>
  </rcc>
  <rcc rId="4437" sId="1" odxf="1" dxf="1">
    <nc r="F249">
      <f>F250</f>
    </nc>
    <ndxf>
      <fill>
        <patternFill patternType="solid">
          <bgColor theme="0"/>
        </patternFill>
      </fill>
    </ndxf>
  </rcc>
  <rcc rId="4438" sId="1">
    <nc r="A2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9" sId="1">
    <nc r="B250" t="inlineStr">
      <is>
        <t>07</t>
      </is>
    </nc>
  </rcc>
  <rcc rId="4440" sId="1">
    <nc r="C250" t="inlineStr">
      <is>
        <t>01</t>
      </is>
    </nc>
  </rcc>
  <rcc rId="4441" sId="1">
    <nc r="D250" t="inlineStr">
      <is>
        <t>10101 S2160</t>
      </is>
    </nc>
  </rcc>
  <rcc rId="4442" sId="1">
    <nc r="E250" t="inlineStr">
      <is>
        <t>611</t>
      </is>
    </nc>
  </rcc>
  <rcc rId="4443" sId="1" odxf="1" dxf="1">
    <nc r="F250">
      <f>71577+1431.5</f>
    </nc>
    <ndxf>
      <fill>
        <patternFill patternType="solid">
          <bgColor theme="0"/>
        </patternFill>
      </fill>
    </ndxf>
  </rcc>
  <rcc rId="4444" sId="1">
    <nc r="G250">
      <v>71577</v>
    </nc>
  </rcc>
  <rcc rId="4445" sId="1">
    <oc r="F242">
      <f>F243+F247+F245</f>
    </oc>
    <nc r="F242">
      <f>F243+F247+F245+F249</f>
    </nc>
  </rcc>
  <rrc rId="4446" sId="1" ref="A355:XFD355" action="insertRow"/>
  <rrc rId="4447" sId="1" ref="A355:XFD355" action="insertRow"/>
  <rrc rId="4448" sId="1" ref="A355:XFD355" action="insertRow"/>
  <rcc rId="4449" sId="1" odxf="1" dxf="1">
    <nc r="A355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4450" sId="1" odxf="1" dxf="1">
    <nc r="B35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51" sId="1" odxf="1" dxf="1">
    <nc r="C35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52" sId="1" odxf="1" dxf="1">
    <nc r="D355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5" start="0" length="0">
    <dxf>
      <font>
        <i/>
        <name val="Times New Roman"/>
        <family val="1"/>
      </font>
    </dxf>
  </rfmt>
  <rcc rId="4453" sId="1" odxf="1" dxf="1">
    <nc r="F355">
      <f>F356+F357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454" sId="1" odxf="1" dxf="1">
    <nc r="A35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455" sId="1">
    <nc r="B356" t="inlineStr">
      <is>
        <t>07</t>
      </is>
    </nc>
  </rcc>
  <rcc rId="4456" sId="1">
    <nc r="C356" t="inlineStr">
      <is>
        <t>09</t>
      </is>
    </nc>
  </rcc>
  <rcc rId="4457" sId="1">
    <nc r="D356" t="inlineStr">
      <is>
        <t>10501  S2160</t>
      </is>
    </nc>
  </rcc>
  <rcc rId="4458" sId="1">
    <nc r="E356" t="inlineStr">
      <is>
        <t>111</t>
      </is>
    </nc>
  </rcc>
  <rcc rId="4459" sId="1" odxf="1" dxf="1">
    <nc r="F356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460" sId="1" odxf="1" dxf="1">
    <nc r="A35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461" sId="1">
    <nc r="B357" t="inlineStr">
      <is>
        <t>07</t>
      </is>
    </nc>
  </rcc>
  <rcc rId="4462" sId="1">
    <nc r="C357" t="inlineStr">
      <is>
        <t>09</t>
      </is>
    </nc>
  </rcc>
  <rcc rId="4463" sId="1">
    <nc r="D357" t="inlineStr">
      <is>
        <t>10501 S2160</t>
      </is>
    </nc>
  </rcc>
  <rcc rId="4464" sId="1">
    <nc r="E357" t="inlineStr">
      <is>
        <t>119</t>
      </is>
    </nc>
  </rcc>
  <rcc rId="4465" sId="1" odxf="1" dxf="1">
    <nc r="F357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466" sId="1">
    <nc r="G355">
      <v>27981.200000000001</v>
    </nc>
  </rcc>
  <rcc rId="4467" sId="1">
    <oc r="F343">
      <f>F346+F349+F344</f>
    </oc>
    <nc r="F343">
      <f>F346+F349+F344+F355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8" sId="1">
    <oc r="G228">
      <v>15139</v>
    </oc>
    <nc r="G228">
      <v>15138.9</v>
    </nc>
  </rcc>
  <rcc rId="4469" sId="1">
    <nc r="H494">
      <v>1500868.3</v>
    </nc>
  </rcc>
  <rcc rId="4470" sId="1" odxf="1" dxf="1">
    <nc r="I494">
      <f>H494-G494</f>
    </nc>
    <odxf>
      <numFmt numFmtId="0" formatCode="General"/>
    </odxf>
    <ndxf>
      <numFmt numFmtId="166" formatCode="#,##0.00000"/>
    </ndxf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1" sId="1">
    <nc r="G260">
      <v>5813</v>
    </nc>
  </rcc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2" sId="1">
    <oc r="F278">
      <f>2492.1</f>
    </oc>
    <nc r="F278">
      <f>2492.1+50.9</f>
    </nc>
  </rcc>
  <rcc rId="4473" sId="1">
    <oc r="F282">
      <f>19875.4+1268.7</f>
    </oc>
    <nc r="F282">
      <f>19875.4+1268.7+213.6</f>
    </nc>
  </rcc>
  <rrc rId="4474" sId="1" ref="A303:XFD304" action="insertRow"/>
  <rm rId="4475" sheetId="1" source="A279:XFD280" destination="A303:XFD304" sourceSheetId="1">
    <rfmt sheetId="1" xfDxf="1" sqref="A303:XFD30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304:XFD30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sqref="A303" start="0" length="0">
      <dxf>
        <font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4" start="0" length="0">
      <dxf>
        <font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476" sId="1" ref="A279:XFD279" action="deleteRow">
    <rfmt sheetId="1" xfDxf="1" sqref="A279:XFD279" start="0" length="0">
      <dxf>
        <font>
          <name val="Times New Roman CYR"/>
          <family val="1"/>
        </font>
        <alignment wrapText="1"/>
      </dxf>
    </rfmt>
  </rrc>
  <rrc rId="4477" sId="1" ref="A279:XFD279" action="deleteRow">
    <rfmt sheetId="1" xfDxf="1" sqref="A279:XFD279" start="0" length="0">
      <dxf>
        <font>
          <name val="Times New Roman CYR"/>
          <family val="1"/>
        </font>
        <alignment wrapText="1"/>
      </dxf>
    </rfmt>
  </rrc>
  <rcc rId="4478" sId="1">
    <oc r="D301" t="inlineStr">
      <is>
        <t>10203 S2М40</t>
      </is>
    </oc>
    <nc r="D301" t="inlineStr">
      <is>
        <t>10303 S2М40</t>
      </is>
    </nc>
  </rcc>
  <rcc rId="4479" sId="1">
    <oc r="D302" t="inlineStr">
      <is>
        <t>10203 S2М40</t>
      </is>
    </oc>
    <nc r="D302" t="inlineStr">
      <is>
        <t>10303 S2М40</t>
      </is>
    </nc>
  </rcc>
  <rcc rId="4480" sId="1">
    <oc r="F300">
      <f>F303</f>
    </oc>
    <nc r="F300">
      <f>F303+F301</f>
    </nc>
  </rcc>
  <rcc rId="4481" sId="1" numFmtId="4">
    <oc r="F302">
      <f>20278.1</f>
    </oc>
    <nc r="F302">
      <v>20278</v>
    </nc>
  </rcc>
  <rcc rId="4482" sId="1">
    <oc r="G304">
      <v>83894.8</v>
    </oc>
    <nc r="G304">
      <v>83894.9</v>
    </nc>
  </rcc>
  <rcc rId="4483" sId="1">
    <oc r="F304">
      <f>82216.9+1677.9</f>
    </oc>
    <nc r="F304">
      <f>38171.1+779+44045.8+899+195.7+327.8</f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4" sId="1">
    <oc r="C301" t="inlineStr">
      <is>
        <t>02</t>
      </is>
    </oc>
    <nc r="C301" t="inlineStr">
      <is>
        <t>03</t>
      </is>
    </nc>
  </rcc>
  <rcc rId="4485" sId="1">
    <oc r="C302" t="inlineStr">
      <is>
        <t>02</t>
      </is>
    </oc>
    <nc r="C302" t="inlineStr">
      <is>
        <t>03</t>
      </is>
    </nc>
  </rcc>
  <rcc rId="4486" sId="1">
    <oc r="F276">
      <f>F281+F279+F277+F301</f>
    </oc>
    <nc r="F276">
      <f>F281+F279+F277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487" sId="1" ref="A224:XFD225" action="insertRow"/>
  <rfmt sheetId="1" sqref="A224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4488" sId="1" odxf="1" dxf="1">
    <nc r="B224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489" sId="1" odxf="1" dxf="1">
    <nc r="C224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2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490" sId="1" odxf="1" dxf="1">
    <nc r="F224">
      <f>SUM(F225:F225)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491" sId="1" odxf="1" dxf="1">
    <nc r="A225" t="inlineStr">
      <is>
        <t>Иные межбюджетные трансферты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492" sId="1" odxf="1" dxf="1">
    <nc r="B225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493" sId="1" odxf="1" dxf="1">
    <nc r="C225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D225" start="0" length="0">
    <dxf>
      <fill>
        <patternFill patternType="none">
          <bgColor indexed="65"/>
        </patternFill>
      </fill>
    </dxf>
  </rfmt>
  <rcc rId="4494" sId="1" odxf="1" dxf="1">
    <nc r="E225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25" start="0" length="0">
    <dxf>
      <fill>
        <patternFill>
          <bgColor theme="0"/>
        </patternFill>
      </fill>
    </dxf>
  </rfmt>
  <rcc rId="4495" sId="1">
    <nc r="G225">
      <v>13510</v>
    </nc>
  </rcc>
  <rcc rId="4496" sId="1">
    <nc r="D224" t="inlineStr">
      <is>
        <t>99900 L5760</t>
      </is>
    </nc>
  </rcc>
  <rcc rId="4497" sId="1" odxf="1" dxf="1">
    <nc r="D225" t="inlineStr">
      <is>
        <t>99900 L5760</t>
      </is>
    </nc>
    <ndxf>
      <font>
        <i/>
        <name val="Times New Roman"/>
        <family val="1"/>
      </font>
    </ndxf>
  </rcc>
  <rfmt sheetId="1" sqref="D225" start="0" length="2147483647">
    <dxf>
      <font>
        <i val="0"/>
      </font>
    </dxf>
  </rfmt>
  <rfmt sheetId="1" sqref="F304:F306">
    <dxf>
      <fill>
        <patternFill>
          <bgColor theme="0"/>
        </patternFill>
      </fill>
    </dxf>
  </rfmt>
  <rcc rId="4498" sId="1" odxf="1" dxf="1">
    <nc r="A224" t="inlineStr">
      <is>
        <t>Обеспечение комплексного развития сельских территорий</t>
      </is>
    </nc>
    <ndxf>
      <font>
        <name val="Times New Roman CYR"/>
        <family val="1"/>
      </font>
      <fill>
        <patternFill patternType="solid">
          <bgColor theme="0"/>
        </patternFill>
      </fill>
      <alignment horizontal="left" vertical="center"/>
      <border outline="0">
        <left style="medium">
          <color indexed="64"/>
        </left>
      </border>
    </ndxf>
  </rcc>
  <rcc rId="4499" sId="1" numFmtId="4">
    <nc r="F225">
      <f>50104.8+1022.5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функцион.структура!$A$1:$F$496</formula>
    <oldFormula>функцион.структура!$A$1:$F$496</oldFormula>
  </rdn>
  <rdn rId="0" localSheetId="1" customView="1" name="Z_629918FE_B1DF_464A_BF50_03D18729BC02_.wvu.FilterData" hidden="1" oldHidden="1">
    <formula>функцион.структура!$A$13:$F$503</formula>
    <oldFormula>функцион.структура!$A$13:$F$503</oldFormula>
  </rdn>
  <rcv guid="{629918FE-B1DF-464A-BF50-03D18729BC02}" action="add"/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02" sId="1">
    <oc r="G225">
      <v>13510</v>
    </oc>
    <nc r="G225">
      <v>51127.3</v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2" sId="1" ref="A68:XFD70" action="insertRow"/>
  <rcc rId="843" sId="1" odxf="1" dxf="1">
    <nc r="A68" t="inlineStr">
      <is>
        <t>Обеспечение проведения выборов и референдумов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vertical="center"/>
    </ndxf>
  </rcc>
  <rcc rId="844" sId="1" odxf="1" dxf="1">
    <nc r="B68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45" sId="1" odxf="1" dxf="1">
    <nc r="C68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46" sId="1" odxf="1" dxf="1">
    <nc r="F68">
      <f>F69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G68" start="0" length="0">
    <dxf>
      <font>
        <i val="0"/>
        <name val="Times New Roman CYR"/>
        <family val="1"/>
      </font>
    </dxf>
  </rfmt>
  <rfmt sheetId="1" sqref="H68" start="0" length="0">
    <dxf>
      <font>
        <i val="0"/>
        <name val="Times New Roman CYR"/>
        <family val="1"/>
      </font>
    </dxf>
  </rfmt>
  <rfmt sheetId="1" sqref="I68" start="0" length="0">
    <dxf>
      <font>
        <i val="0"/>
        <name val="Times New Roman CYR"/>
        <family val="1"/>
      </font>
    </dxf>
  </rfmt>
  <rfmt sheetId="1" sqref="J68" start="0" length="0">
    <dxf>
      <font>
        <i val="0"/>
        <name val="Times New Roman CYR"/>
        <family val="1"/>
      </font>
    </dxf>
  </rfmt>
  <rfmt sheetId="1" sqref="K68" start="0" length="0">
    <dxf>
      <font>
        <i val="0"/>
        <name val="Times New Roman CYR"/>
        <family val="1"/>
      </font>
    </dxf>
  </rfmt>
  <rfmt sheetId="1" sqref="A68:XFD68" start="0" length="0">
    <dxf>
      <font>
        <i val="0"/>
        <name val="Times New Roman CYR"/>
        <family val="1"/>
      </font>
    </dxf>
  </rfmt>
  <rcc rId="847" sId="1" odxf="1" dxf="1">
    <nc r="A69" t="inlineStr">
      <is>
        <t>Прочие мероприятия, связанные с выполнением обязательств органов местного самоуправления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848" sId="1" odxf="1" dxf="1">
    <nc r="B6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9" sId="1" odxf="1" dxf="1">
    <nc r="C6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0" sId="1" odxf="1" dxf="1">
    <nc r="D69" t="inlineStr">
      <is>
        <t>99900 82900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9" start="0" length="0">
    <dxf>
      <font>
        <i/>
        <name val="Times New Roman"/>
        <family val="1"/>
      </font>
    </dxf>
  </rfmt>
  <rcc rId="851" sId="1" odxf="1" dxf="1">
    <nc r="F69">
      <f>F70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69" start="0" length="0">
    <dxf>
      <font>
        <i val="0"/>
        <name val="Times New Roman CYR"/>
        <family val="1"/>
      </font>
    </dxf>
  </rfmt>
  <rfmt sheetId="1" sqref="H69" start="0" length="0">
    <dxf>
      <font>
        <i val="0"/>
        <name val="Times New Roman CYR"/>
        <family val="1"/>
      </font>
    </dxf>
  </rfmt>
  <rfmt sheetId="1" sqref="I69" start="0" length="0">
    <dxf>
      <font>
        <i val="0"/>
        <name val="Times New Roman CYR"/>
        <family val="1"/>
      </font>
    </dxf>
  </rfmt>
  <rfmt sheetId="1" sqref="J69" start="0" length="0">
    <dxf>
      <font>
        <i val="0"/>
        <name val="Times New Roman CYR"/>
        <family val="1"/>
      </font>
    </dxf>
  </rfmt>
  <rfmt sheetId="1" sqref="K69" start="0" length="0">
    <dxf>
      <font>
        <i val="0"/>
        <name val="Times New Roman CYR"/>
        <family val="1"/>
      </font>
    </dxf>
  </rfmt>
  <rfmt sheetId="1" sqref="A69:XFD69" start="0" length="0">
    <dxf>
      <font>
        <i val="0"/>
        <name val="Times New Roman CYR"/>
        <family val="1"/>
      </font>
    </dxf>
  </rfmt>
  <rcc rId="852" sId="1" odxf="1" dxf="1">
    <nc r="A70" t="inlineStr">
      <is>
        <t>Специальные расходы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853" sId="1">
    <nc r="B70" t="inlineStr">
      <is>
        <t>01</t>
      </is>
    </nc>
  </rcc>
  <rcc rId="854" sId="1">
    <nc r="C70" t="inlineStr">
      <is>
        <t>07</t>
      </is>
    </nc>
  </rcc>
  <rcc rId="855" sId="1">
    <nc r="D70" t="inlineStr">
      <is>
        <t>99900 82900</t>
      </is>
    </nc>
  </rcc>
  <rcc rId="856" sId="1">
    <nc r="E70" t="inlineStr">
      <is>
        <t>880</t>
      </is>
    </nc>
  </rcc>
  <rfmt sheetId="1" sqref="F70" start="0" length="0">
    <dxf>
      <fill>
        <patternFill patternType="none">
          <bgColor indexed="65"/>
        </patternFill>
      </fill>
    </dxf>
  </rfmt>
  <rfmt sheetId="1" sqref="G70" start="0" length="0">
    <dxf>
      <font>
        <i val="0"/>
        <name val="Times New Roman CYR"/>
        <family val="1"/>
      </font>
    </dxf>
  </rfmt>
  <rfmt sheetId="1" sqref="H70" start="0" length="0">
    <dxf>
      <font>
        <i val="0"/>
        <name val="Times New Roman CYR"/>
        <family val="1"/>
      </font>
    </dxf>
  </rfmt>
  <rfmt sheetId="1" sqref="I70" start="0" length="0">
    <dxf>
      <font>
        <i val="0"/>
        <name val="Times New Roman CYR"/>
        <family val="1"/>
      </font>
    </dxf>
  </rfmt>
  <rfmt sheetId="1" sqref="J70" start="0" length="0">
    <dxf>
      <font>
        <i val="0"/>
        <name val="Times New Roman CYR"/>
        <family val="1"/>
      </font>
    </dxf>
  </rfmt>
  <rfmt sheetId="1" sqref="K70" start="0" length="0">
    <dxf>
      <font>
        <i val="0"/>
        <name val="Times New Roman CYR"/>
        <family val="1"/>
      </font>
    </dxf>
  </rfmt>
  <rfmt sheetId="1" sqref="A70:XFD70" start="0" length="0">
    <dxf>
      <font>
        <i val="0"/>
        <name val="Times New Roman CYR"/>
        <family val="1"/>
      </font>
    </dxf>
  </rfmt>
  <rcc rId="857" sId="1" numFmtId="4">
    <nc r="F70">
      <f>742.5+1702.7</f>
    </nc>
  </rcc>
  <rcc rId="858" sId="1">
    <oc r="F18">
      <f>F19+F25+F40+F50+F54+F71+F75</f>
    </oc>
    <nc r="F18">
      <f>F19+F25+F40+F50+F54+F71+F75+F68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03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4">
        <f>SUM(F225:F225)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504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>
        <f>50104.8+1022.5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24">
        <v>51127.3</v>
      </nc>
    </rcc>
  </rr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05" sId="1" ref="A173:XFD176" action="insertRow"/>
  <rcc rId="4506" sId="1" odxf="1" dxf="1">
    <nc r="A173" t="inlineStr">
      <is>
        <t>Дорожное хозяйство (дорожные фонды)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4507" sId="1" odxf="1" dxf="1">
    <nc r="B173" t="inlineStr">
      <is>
        <t xml:space="preserve">04 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174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fmt sheetId="1" sqref="B174" start="0" length="0">
    <dxf>
      <font>
        <b/>
        <name val="Times New Roman"/>
        <family val="1"/>
      </font>
    </dxf>
  </rfmt>
  <rfmt sheetId="1" sqref="C174" start="0" length="0">
    <dxf>
      <font>
        <b/>
        <name val="Times New Roman"/>
        <family val="1"/>
      </font>
    </dxf>
  </rfmt>
  <rfmt sheetId="1" sqref="D174" start="0" length="0">
    <dxf>
      <font>
        <b/>
        <name val="Times New Roman"/>
        <family val="1"/>
      </font>
    </dxf>
  </rfmt>
  <rfmt sheetId="1" sqref="E174" start="0" length="0">
    <dxf>
      <font>
        <b/>
        <name val="Times New Roman"/>
        <family val="1"/>
      </font>
    </dxf>
  </rfmt>
  <rfmt sheetId="1" sqref="F174" start="0" length="0">
    <dxf>
      <font>
        <b/>
        <name val="Times New Roman"/>
        <family val="1"/>
      </font>
    </dxf>
  </rfmt>
  <rfmt sheetId="1" sqref="A17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4508" sId="1" odxf="1" dxf="1">
    <nc r="B17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5" start="0" length="0">
    <dxf>
      <font>
        <i/>
        <name val="Times New Roman"/>
        <family val="1"/>
      </font>
    </dxf>
  </rfmt>
  <rfmt sheetId="1" sqref="D175" start="0" length="0">
    <dxf>
      <font>
        <i/>
        <name val="Times New Roman"/>
        <family val="1"/>
      </font>
    </dxf>
  </rfmt>
  <rfmt sheetId="1" sqref="E175" start="0" length="0">
    <dxf>
      <font>
        <i/>
        <name val="Times New Roman"/>
        <family val="1"/>
      </font>
    </dxf>
  </rfmt>
  <rfmt sheetId="1" sqref="F175" start="0" length="0">
    <dxf>
      <font>
        <i/>
        <name val="Times New Roman"/>
        <family val="1"/>
      </font>
    </dxf>
  </rfmt>
  <rfmt sheetId="1" sqref="A176" start="0" length="0">
    <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dxf>
  </rfmt>
  <rcc rId="4509" sId="1" odxf="1" dxf="1">
    <nc r="B176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176" start="0" length="0">
    <dxf>
      <numFmt numFmtId="165" formatCode="0.00000"/>
    </dxf>
  </rfmt>
  <rfmt sheetId="1" sqref="I176" start="0" length="0">
    <dxf>
      <numFmt numFmtId="165" formatCode="0.00000"/>
    </dxf>
  </rfmt>
  <rfmt sheetId="1" sqref="J176" start="0" length="0">
    <dxf>
      <numFmt numFmtId="165" formatCode="0.00000"/>
    </dxf>
  </rfmt>
  <rfmt sheetId="1" sqref="K176" start="0" length="0">
    <dxf>
      <numFmt numFmtId="165" formatCode="0.00000"/>
    </dxf>
  </rfmt>
  <rcc rId="4510" sId="1">
    <nc r="C173" t="inlineStr">
      <is>
        <t>06</t>
      </is>
    </nc>
  </rcc>
  <rcc rId="4511" sId="1">
    <nc r="C175" t="inlineStr">
      <is>
        <t>06</t>
      </is>
    </nc>
  </rcc>
  <rcc rId="4512" sId="1">
    <nc r="C176" t="inlineStr">
      <is>
        <t>06</t>
      </is>
    </nc>
  </rcc>
  <rcc rId="4513" sId="1" odxf="1" dxf="1">
    <nc r="A174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514" sId="1">
    <nc r="B174" t="inlineStr">
      <is>
        <t>04</t>
      </is>
    </nc>
  </rcc>
  <rcc rId="4515" sId="1">
    <nc r="D174" t="inlineStr">
      <is>
        <t>99900 00000</t>
      </is>
    </nc>
  </rcc>
  <rcc rId="4516" sId="1">
    <nc r="F174">
      <f>F175</f>
    </nc>
  </rcc>
  <rcc rId="4517" sId="1">
    <nc r="C174" t="inlineStr">
      <is>
        <t>06</t>
      </is>
    </nc>
  </rcc>
  <rrc rId="4518" sId="1" ref="A175:XFD175" action="insertRow"/>
  <rcc rId="4519" sId="1">
    <nc r="A17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4520" sId="1">
    <nc r="D175" t="inlineStr">
      <is>
        <t>18000 00000</t>
      </is>
    </nc>
  </rcc>
  <rcc rId="4521" sId="1">
    <nc r="F175">
      <f>F176</f>
    </nc>
  </rcc>
  <rcc rId="4522" sId="1">
    <nc r="B175" t="inlineStr">
      <is>
        <t>04</t>
      </is>
    </nc>
  </rcc>
  <rcc rId="4523" sId="1">
    <nc r="C175" t="inlineStr">
      <is>
        <t>06</t>
      </is>
    </nc>
  </rcc>
  <rcc rId="4524" sId="1">
    <nc r="D176" t="inlineStr">
      <is>
        <t>18001 00000</t>
      </is>
    </nc>
  </rcc>
  <rcc rId="4525" sId="1" xfDxf="1" dxf="1">
    <nc r="A176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526" sId="1" ref="A177:XFD177" action="insertRow"/>
  <rcc rId="4527" sId="1">
    <nc r="B177" t="inlineStr">
      <is>
        <t>04</t>
      </is>
    </nc>
  </rcc>
  <rcc rId="4528" sId="1">
    <nc r="C177" t="inlineStr">
      <is>
        <t>06</t>
      </is>
    </nc>
  </rcc>
  <rcc rId="4529" sId="1">
    <nc r="D177" t="inlineStr">
      <is>
        <t>18001 S2М80</t>
      </is>
    </nc>
  </rcc>
  <rcc rId="4530" sId="1" odxf="1" dxf="1">
    <nc r="D178" t="inlineStr">
      <is>
        <t>18001 S2М80</t>
      </is>
    </nc>
    <ndxf>
      <fill>
        <patternFill patternType="none">
          <bgColor indexed="65"/>
        </patternFill>
      </fill>
    </ndxf>
  </rcc>
  <rfmt sheetId="1" sqref="A177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77" start="0" length="0">
    <dxf>
      <font>
        <sz val="12"/>
        <color rgb="FF000000"/>
        <name val="Times New Roman"/>
        <family val="1"/>
      </font>
    </dxf>
  </rfmt>
  <rfmt sheetId="1" sqref="A177" start="0" length="0">
    <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531" sId="1">
    <nc r="A177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</rcc>
  <rcc rId="4532" sId="1">
    <nc r="E178" t="inlineStr">
      <is>
        <t>540</t>
      </is>
    </nc>
  </rcc>
  <rcc rId="4533" sId="1" odxf="1" dxf="1">
    <nc r="A178" t="inlineStr">
      <is>
        <t>Иные межбюджетные трансферты</t>
      </is>
    </nc>
    <ndxf>
      <font>
        <i val="0"/>
        <name val="Times New Roman"/>
        <family val="1"/>
      </font>
      <alignment horizontal="left" vertical="center"/>
    </ndxf>
  </rcc>
  <rfmt sheetId="1" sqref="A178:F178" start="0" length="2147483647">
    <dxf>
      <font>
        <i/>
      </font>
    </dxf>
  </rfmt>
  <rfmt sheetId="1" sqref="A178:F178" start="0" length="2147483647">
    <dxf>
      <font>
        <i val="0"/>
      </font>
    </dxf>
  </rfmt>
  <rcc rId="4534" sId="1">
    <nc r="F178">
      <f>15894.1+836.5327</f>
    </nc>
  </rcc>
  <rcc rId="4535" sId="1" numFmtId="4">
    <nc r="G178">
      <v>15894.1</v>
    </nc>
  </rcc>
  <rrc rId="4536" sId="1" ref="A182:XFD182" action="deleteRow">
    <undo index="65535" exp="ref" v="1" dr="F182" r="F181" sId="1"/>
    <undo index="65535" exp="ref" v="1" dr="F182" r="F176" sId="1"/>
    <rfmt sheetId="1" xfDxf="1" sqref="A182:XFD182" start="0" length="0">
      <dxf>
        <font>
          <name val="Times New Roman CYR"/>
          <family val="1"/>
        </font>
        <alignment wrapText="1"/>
      </dxf>
    </rfmt>
    <rcc rId="0" sId="1" dxf="1">
      <nc r="A182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 t="inlineStr">
        <is>
          <t>11001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2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2">
        <f>F183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2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J182" start="0" length="0">
      <dxf>
        <numFmt numFmtId="165" formatCode="0.00000"/>
      </dxf>
    </rfmt>
    <rfmt sheetId="1" sqref="K182" start="0" length="0">
      <dxf>
        <numFmt numFmtId="165" formatCode="0.00000"/>
      </dxf>
    </rfmt>
  </rrc>
  <rrc rId="4537" sId="1" ref="A182:XFD182" action="deleteRow">
    <undo index="65535" exp="ref" v="1" dr="F182" r="F177" sId="1"/>
    <rfmt sheetId="1" xfDxf="1" sqref="A182:XFD182" start="0" length="0">
      <dxf>
        <font>
          <name val="Times New Roman CYR"/>
          <family val="1"/>
        </font>
        <alignment wrapText="1"/>
      </dxf>
    </rfmt>
    <rcc rId="0" sId="1" dxf="1">
      <nc r="A18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 t="inlineStr">
        <is>
          <t>11001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2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J182" start="0" length="0">
      <dxf>
        <numFmt numFmtId="165" formatCode="0.00000"/>
      </dxf>
    </rfmt>
    <rfmt sheetId="1" sqref="K182" start="0" length="0">
      <dxf>
        <numFmt numFmtId="165" formatCode="0.00000"/>
      </dxf>
    </rfmt>
  </rrc>
  <rcc rId="4538" sId="1">
    <oc r="F181">
      <f>F186+F182+#REF!+F184</f>
    </oc>
    <nc r="F181">
      <f>F186+F182+F184</f>
    </nc>
  </rcc>
  <rcc rId="4539" sId="1">
    <nc r="F177">
      <f>F178</f>
    </nc>
  </rcc>
  <rcc rId="4540" sId="1">
    <nc r="F176">
      <f>F177</f>
    </nc>
  </rcc>
  <rrc rId="4541" sId="1" ref="A174:XFD174" action="deleteRow">
    <undo index="65535" exp="ref" v="1" dr="F174" r="F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4">
        <f>F176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542" sId="1">
    <nc r="F173">
      <f>F174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функцион.структура!$A$1:$F$497</formula>
    <oldFormula>функцион.структура!$A$1:$F$497</oldFormula>
  </rdn>
  <rdn rId="0" localSheetId="1" customView="1" name="Z_629918FE_B1DF_464A_BF50_03D18729BC02_.wvu.FilterData" hidden="1" oldHidden="1">
    <formula>функцион.структура!$A$13:$F$504</formula>
    <oldFormula>функцион.структура!$A$13:$F$504</oldFormula>
  </rdn>
  <rcv guid="{629918FE-B1DF-464A-BF50-03D18729BC02}" action="add"/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5" sId="1">
    <oc r="F144">
      <f>F145+F178+F188</f>
    </oc>
    <nc r="F144">
      <f>F145+F178+F188+F173</f>
    </nc>
  </rcc>
  <rcc rId="4546" sId="1" xfDxf="1" dxf="1">
    <nc r="A169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fill>
        <patternFill patternType="solid">
          <bgColor rgb="FFFFFF0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9">
    <dxf>
      <fill>
        <patternFill>
          <bgColor theme="0"/>
        </patternFill>
      </fill>
    </dxf>
  </rfmt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функцион.структура!$A$1:$F$497</formula>
    <oldFormula>функцион.структура!$A$1:$F$497</oldFormula>
  </rdn>
  <rdn rId="0" localSheetId="1" customView="1" name="Z_629918FE_B1DF_464A_BF50_03D18729BC02_.wvu.FilterData" hidden="1" oldHidden="1">
    <formula>функцион.структура!$A$13:$F$504</formula>
    <oldFormula>функцион.структура!$A$13:$F$504</oldFormula>
  </rdn>
  <rcv guid="{629918FE-B1DF-464A-BF50-03D18729BC02}" action="add"/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9" sId="1">
    <oc r="G234">
      <v>3100</v>
    </oc>
    <nc r="G234"/>
  </rcc>
  <rcc rId="4550" sId="1">
    <oc r="C274" t="inlineStr">
      <is>
        <t>09</t>
      </is>
    </oc>
    <nc r="C274" t="inlineStr">
      <is>
        <t>02</t>
      </is>
    </nc>
  </rcc>
  <rcc rId="4551" sId="1">
    <oc r="C275" t="inlineStr">
      <is>
        <t>09</t>
      </is>
    </oc>
    <nc r="C275" t="inlineStr">
      <is>
        <t>02</t>
      </is>
    </nc>
  </rcc>
  <rfmt sheetId="1" sqref="F275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52" sId="1">
    <oc r="G305">
      <v>20278.099999999999</v>
    </oc>
    <nc r="G305">
      <v>20278</v>
    </nc>
  </rcc>
  <rrc rId="4553" sId="1" ref="A468:XFD469" action="insertRow"/>
  <rfmt sheetId="1" sqref="A468" start="0" length="0">
    <dxf>
      <font>
        <i/>
        <color indexed="8"/>
        <name val="Times New Roman"/>
        <family val="1"/>
      </font>
      <fill>
        <patternFill patternType="solid"/>
      </fill>
      <alignment vertical="center"/>
    </dxf>
  </rfmt>
  <rcc rId="4554" sId="1" odxf="1" dxf="1">
    <nc r="B46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68" start="0" length="0">
    <dxf>
      <font>
        <i/>
        <name val="Times New Roman"/>
        <family val="1"/>
      </font>
    </dxf>
  </rfmt>
  <rfmt sheetId="1" sqref="D4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4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555" sId="1" odxf="1" dxf="1">
    <nc r="F468">
      <f>F469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56" sId="1" odxf="1" dxf="1">
    <nc r="A46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4557" sId="1">
    <nc r="B469" t="inlineStr">
      <is>
        <t>11</t>
      </is>
    </nc>
  </rcc>
  <rfmt sheetId="1" sqref="D469" start="0" length="0">
    <dxf>
      <fill>
        <patternFill patternType="none">
          <bgColor indexed="65"/>
        </patternFill>
      </fill>
    </dxf>
  </rfmt>
  <rcc rId="4558" sId="1" odxf="1" dxf="1">
    <nc r="E469" t="inlineStr">
      <is>
        <t>414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559" sId="1">
    <nc r="C468" t="inlineStr">
      <is>
        <t>02</t>
      </is>
    </nc>
  </rcc>
  <rcc rId="4560" sId="1">
    <nc r="C469" t="inlineStr">
      <is>
        <t>02</t>
      </is>
    </nc>
  </rcc>
  <rcc rId="4561" sId="1">
    <nc r="D469" t="inlineStr">
      <is>
        <t>09101 L5760</t>
      </is>
    </nc>
  </rcc>
  <rcc rId="4562" sId="1" odxf="1" dxf="1">
    <nc r="D468" t="inlineStr">
      <is>
        <t>09101 L5760</t>
      </is>
    </nc>
    <ndxf>
      <font>
        <i val="0"/>
        <name val="Times New Roman"/>
        <family val="1"/>
      </font>
    </ndxf>
  </rcc>
  <rcc rId="4563" sId="1" numFmtId="4">
    <nc r="F469">
      <f>7486</f>
    </nc>
  </rcc>
  <rrc rId="4564" sId="1" ref="A464:XFD465" action="insertRow"/>
  <rm rId="4565" sheetId="1" source="A470:XFD471" destination="A464:XFD465" sourceSheetId="1">
    <rfmt sheetId="1" xfDxf="1" sqref="A464:XFD464" start="0" length="0">
      <dxf>
        <font>
          <name val="Times New Roman CYR"/>
          <family val="1"/>
        </font>
        <alignment wrapText="1"/>
      </dxf>
    </rfmt>
    <rfmt sheetId="1" xfDxf="1" sqref="A465:XFD465" start="0" length="0">
      <dxf>
        <font>
          <name val="Times New Roman CYR"/>
          <family val="1"/>
        </font>
        <alignment wrapText="1"/>
      </dxf>
    </rfmt>
    <rfmt sheetId="1" sqref="A464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4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65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5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566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</rrc>
  <rrc rId="4567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</rrc>
  <rcc rId="4568" sId="1">
    <oc r="F460">
      <f>F461</f>
    </oc>
    <nc r="F460">
      <f>F461+F464</f>
    </nc>
  </rcc>
  <rrc rId="4569" sId="1" ref="A467:XFD467" action="insertRow"/>
  <rcc rId="4570" sId="1">
    <oc r="D466" t="inlineStr">
      <is>
        <t>09201 00000</t>
      </is>
    </oc>
    <nc r="D466" t="inlineStr">
      <is>
        <t>09200 00000</t>
      </is>
    </nc>
  </rcc>
  <rcc rId="4571" sId="1">
    <nc r="B467" t="inlineStr">
      <is>
        <t>11</t>
      </is>
    </nc>
  </rcc>
  <rcc rId="4572" sId="1">
    <nc r="C467" t="inlineStr">
      <is>
        <t>02</t>
      </is>
    </nc>
  </rcc>
  <rcc rId="4573" sId="1">
    <nc r="D467" t="inlineStr">
      <is>
        <t>09201 00000</t>
      </is>
    </nc>
  </rcc>
  <rfmt sheetId="1" sqref="A467">
    <dxf>
      <fill>
        <patternFill patternType="solid">
          <bgColor rgb="FFFFFF00"/>
        </patternFill>
      </fill>
    </dxf>
  </rfmt>
  <rfmt sheetId="1" sqref="A467:F467" start="0" length="2147483647">
    <dxf>
      <font>
        <b val="0"/>
      </font>
    </dxf>
  </rfmt>
  <rcc rId="4574" sId="1">
    <nc r="F467">
      <f>F468</f>
    </nc>
  </rcc>
  <rcc rId="4575" sId="1">
    <oc r="F466">
      <f>F468</f>
    </oc>
    <nc r="F466">
      <f>F467</f>
    </nc>
  </rcc>
  <rcc rId="4576" sId="1">
    <nc r="G465">
      <v>7486</v>
    </nc>
  </rcc>
  <rfmt sheetId="1" sqref="A464:F464" start="0" length="2147483647">
    <dxf>
      <font>
        <i val="0"/>
      </font>
    </dxf>
  </rfmt>
  <rfmt sheetId="1" sqref="A464:F464" start="0" length="2147483647">
    <dxf>
      <font>
        <i/>
      </font>
    </dxf>
  </rfmt>
  <rfmt sheetId="1" sqref="A464" start="0" length="0">
    <dxf>
      <font>
        <color indexed="8"/>
        <name val="Times New Roman"/>
        <family val="1"/>
      </font>
      <fill>
        <patternFill patternType="none"/>
      </fill>
    </dxf>
  </rfmt>
  <rcc rId="4577" sId="1" odxf="1" dxf="1">
    <oc r="A391" t="inlineStr">
      <is>
        <t>На обеспечение комплексного развития сельских территорий</t>
      </is>
    </oc>
    <nc r="A391" t="inlineStr">
      <is>
        <t>Обеспечение комплексного развития сельских территорий</t>
      </is>
    </nc>
    <odxf>
      <font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</border>
    </odxf>
    <ndxf>
      <font>
        <name val="Times New Roman CYR"/>
        <family val="1"/>
      </font>
      <fill>
        <patternFill patternType="solid">
          <bgColor theme="0"/>
        </patternFill>
      </fill>
      <border outline="0">
        <left style="medium">
          <color indexed="64"/>
        </left>
      </border>
    </ndxf>
  </rcc>
  <rcc rId="4578" sId="1" odxf="1" dxf="1">
    <nc r="A464" t="inlineStr">
      <is>
        <t>Обеспечение комплексного развития сельских территорий</t>
      </is>
    </nc>
    <ndxf>
      <font>
        <name val="Times New Roman CYR"/>
        <family val="1"/>
      </font>
      <fill>
        <patternFill patternType="solid">
          <bgColor theme="0"/>
        </patternFill>
      </fill>
      <border outline="0">
        <left style="medium">
          <color indexed="64"/>
        </left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функцион.структура!$A$1:$F$500</formula>
    <oldFormula>функцион.структура!$A$1:$F$500</oldFormula>
  </rdn>
  <rdn rId="0" localSheetId="1" customView="1" name="Z_629918FE_B1DF_464A_BF50_03D18729BC02_.wvu.FilterData" hidden="1" oldHidden="1">
    <formula>функцион.структура!$A$13:$F$507</formula>
    <oldFormula>функцион.структура!$A$13:$F$507</oldFormula>
  </rdn>
  <rcv guid="{629918FE-B1DF-464A-BF50-03D18729BC02}" action="add"/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1" sId="1">
    <oc r="F512">
      <f>F500-G500</f>
    </oc>
    <nc r="F512">
      <f>F500-F504</f>
    </nc>
  </rcc>
  <rcc rId="4582" sId="1">
    <oc r="F504">
      <v>1048836.03</v>
    </oc>
    <nc r="F504">
      <f>1500868.3+190658.5+196572.19</f>
    </nc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3" sId="1">
    <oc r="F504">
      <f>1500868.3+190658.5+196572.19</f>
    </oc>
    <nc r="F504">
      <f>1500868.3+190658.5+196572.19+2729.8+3100</f>
    </nc>
  </rcc>
  <rrc rId="4584" sId="1" ref="A87:XFD87" action="insertRow"/>
  <rcc rId="4585" sId="1">
    <nc r="B87" t="inlineStr">
      <is>
        <t>01</t>
      </is>
    </nc>
  </rcc>
  <rcc rId="4586" sId="1">
    <nc r="C87" t="inlineStr">
      <is>
        <t>13</t>
      </is>
    </nc>
  </rcc>
  <rcc rId="4587" sId="1">
    <nc r="D87" t="inlineStr">
      <is>
        <t>04102 81020</t>
      </is>
    </nc>
  </rcc>
  <rcc rId="4588" sId="1">
    <nc r="E87" t="inlineStr">
      <is>
        <t>122</t>
      </is>
    </nc>
  </rcc>
  <rcc rId="4589" sId="1" numFmtId="4">
    <nc r="F87">
      <v>10</v>
    </nc>
  </rcc>
  <rcc rId="4590" sId="1">
    <oc r="F85">
      <f>SUM(F86:F88)</f>
    </oc>
    <nc r="F85">
      <f>SUM(F86:F88)</f>
    </nc>
  </rcc>
  <rcc rId="4591" sId="1">
    <nc r="A87" t="inlineStr">
      <is>
        <t>Иные выплаты персоналу государственных (муниципальных) органов, за исключением фонда оплаты труда</t>
      </is>
    </nc>
  </rcc>
  <rcc rId="4592" sId="1" numFmtId="4">
    <oc r="F90">
      <v>50</v>
    </oc>
    <nc r="F90">
      <v>140.80000000000001</v>
    </nc>
  </rcc>
  <rcc rId="4593" sId="1" numFmtId="4">
    <oc r="F91">
      <v>50</v>
    </oc>
    <nc r="F91">
      <v>19.2</v>
    </nc>
  </rcc>
  <rcc rId="4594" sId="1" numFmtId="4">
    <oc r="F94">
      <v>200</v>
    </oc>
    <nc r="F94">
      <v>280</v>
    </nc>
  </rcc>
  <rrc rId="4595" sId="1" ref="A129:XFD130" action="insertRow"/>
  <rfmt sheetId="1" sqref="A129" start="0" length="0">
    <dxf>
      <font>
        <i/>
        <color indexed="8"/>
        <name val="Times New Roman"/>
        <family val="1"/>
      </font>
    </dxf>
  </rfmt>
  <rcc rId="4596" sId="1" odxf="1" dxf="1">
    <nc r="B12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97" sId="1" odxf="1" dxf="1">
    <nc r="C12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9" start="0" length="0">
    <dxf>
      <font>
        <i/>
        <name val="Times New Roman"/>
        <family val="1"/>
      </font>
    </dxf>
  </rfmt>
  <rfmt sheetId="1" sqref="E129" start="0" length="0">
    <dxf>
      <font>
        <i/>
        <name val="Times New Roman"/>
        <family val="1"/>
      </font>
    </dxf>
  </rfmt>
  <rcc rId="4598" sId="1" odxf="1" dxf="1">
    <nc r="F129">
      <f>F130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129" start="0" length="0">
    <dxf>
      <font>
        <i/>
        <name val="Times New Roman CYR"/>
        <family val="1"/>
      </font>
    </dxf>
  </rfmt>
  <rfmt sheetId="1" sqref="H129" start="0" length="0">
    <dxf>
      <font>
        <i/>
        <name val="Times New Roman CYR"/>
        <family val="1"/>
      </font>
    </dxf>
  </rfmt>
  <rfmt sheetId="1" sqref="I129" start="0" length="0">
    <dxf>
      <font>
        <i/>
        <name val="Times New Roman CYR"/>
        <family val="1"/>
      </font>
    </dxf>
  </rfmt>
  <rfmt sheetId="1" sqref="J129" start="0" length="0">
    <dxf>
      <font>
        <i/>
        <name val="Times New Roman CYR"/>
        <family val="1"/>
      </font>
    </dxf>
  </rfmt>
  <rfmt sheetId="1" sqref="K129" start="0" length="0">
    <dxf>
      <font>
        <i/>
        <name val="Times New Roman CYR"/>
        <family val="1"/>
      </font>
    </dxf>
  </rfmt>
  <rfmt sheetId="1" sqref="A129:XFD129" start="0" length="0">
    <dxf>
      <font>
        <i/>
        <name val="Times New Roman CYR"/>
        <family val="1"/>
      </font>
    </dxf>
  </rfmt>
  <rfmt sheetId="1" sqref="A130" start="0" length="0">
    <dxf>
      <font>
        <color indexed="8"/>
        <name val="Times New Roman"/>
        <family val="1"/>
      </font>
      <alignment vertical="top"/>
    </dxf>
  </rfmt>
  <rcc rId="4599" sId="1">
    <nc r="B130" t="inlineStr">
      <is>
        <t>01</t>
      </is>
    </nc>
  </rcc>
  <rcc rId="4600" sId="1">
    <nc r="C130" t="inlineStr">
      <is>
        <t>13</t>
      </is>
    </nc>
  </rcc>
  <rfmt sheetId="1" sqref="F130" start="0" length="0">
    <dxf>
      <fill>
        <patternFill patternType="none">
          <bgColor indexed="65"/>
        </patternFill>
      </fill>
    </dxf>
  </rfmt>
  <rcc rId="4601" sId="1">
    <nc r="D130" t="inlineStr">
      <is>
        <t>99900 82900</t>
      </is>
    </nc>
  </rcc>
  <rcc rId="4602" sId="1">
    <nc r="E130" t="inlineStr">
      <is>
        <t>244</t>
      </is>
    </nc>
  </rcc>
  <rcc rId="4603" sId="1" odxf="1" dxf="1">
    <nc r="D129" t="inlineStr">
      <is>
        <t>99900 82900</t>
      </is>
    </nc>
    <ndxf>
      <font>
        <i val="0"/>
        <name val="Times New Roman"/>
        <family val="1"/>
      </font>
    </ndxf>
  </rcc>
  <rfmt sheetId="1" sqref="D129" start="0" length="2147483647">
    <dxf>
      <font>
        <i/>
      </font>
    </dxf>
  </rfmt>
  <rcc rId="4604" sId="1" numFmtId="4">
    <nc r="F130">
      <v>196.8</v>
    </nc>
  </rcc>
  <rfmt sheetId="1" sqref="A129">
    <dxf>
      <fill>
        <patternFill patternType="solid">
          <bgColor rgb="FFFFFF00"/>
        </patternFill>
      </fill>
    </dxf>
  </rfmt>
  <rcc rId="4605" sId="1" odxf="1" dxf="1">
    <nc r="A130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alignment vertical="center"/>
    </ndxf>
  </rcc>
  <rcc rId="4606" sId="1">
    <oc r="F108">
      <f>F109+F114+F119+F124+F131+F133+F139+F112</f>
    </oc>
    <nc r="F108">
      <f>F109+F114+F119+F124+F131+F133+F139+F112+F129</f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7" sId="1">
    <oc r="F196">
      <v>150</v>
    </oc>
    <nc r="F196">
      <f>100+347</f>
    </nc>
  </rcc>
  <rfmt sheetId="1" sqref="F243">
    <dxf>
      <fill>
        <patternFill>
          <bgColor rgb="FFFFFF00"/>
        </patternFill>
      </fill>
    </dxf>
  </rfmt>
  <rcc rId="4608" sId="1" numFmtId="4">
    <oc r="F254">
      <f>55045.8+16623.8+13536.3+1849.2+364.2</f>
    </oc>
    <nc r="F254">
      <v>21313.599999999999</v>
    </nc>
  </rcc>
  <rcc rId="4609" sId="1" numFmtId="4">
    <oc r="F268">
      <f>32512.2+318.3+4176+435</f>
    </oc>
    <nc r="F268">
      <v>51389</v>
    </nc>
  </rcc>
  <rcc rId="4610" sId="1" numFmtId="4">
    <oc r="F301">
      <f>100</f>
    </oc>
    <nc r="F301">
      <v>992.9</v>
    </nc>
  </rcc>
  <rcc rId="4611" sId="1" numFmtId="4">
    <oc r="F302">
      <f>574.5</f>
    </oc>
    <nc r="F302">
      <v>1951.4</v>
    </nc>
  </rcc>
  <rcc rId="4612" sId="1" numFmtId="4">
    <oc r="F356">
      <v>20822.5</v>
    </oc>
    <nc r="F356">
      <v>423.3</v>
    </nc>
  </rcc>
  <rcc rId="4613" sId="1" numFmtId="4">
    <oc r="F357">
      <v>6288.3</v>
    </oc>
    <nc r="F357">
      <v>127.8</v>
    </nc>
  </rcc>
  <rcc rId="4614" sId="1">
    <oc r="F358">
      <v>50</v>
    </oc>
    <nc r="F358">
      <f>250+453.3</f>
    </nc>
  </rcc>
  <rcc rId="4615" sId="1" numFmtId="4">
    <oc r="F359">
      <v>8.3000000000000007</v>
    </oc>
    <nc r="F359">
      <v>4146.8</v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15" start="0" length="2147483647">
    <dxf>
      <font>
        <b/>
      </font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9" sId="1" numFmtId="4">
    <oc r="F287">
      <f>2500+1000+3500+1500+1500+1500+1102+974.3+6319.1+175+98.6</f>
    </oc>
    <nc r="F287">
      <v>0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6" sId="1">
    <oc r="F507">
      <f>1500868.3+190658.5+196572.19+2729.8+3100</f>
    </oc>
    <nc r="F507">
      <f>1500868.3+190658.5+196572.19+2729.8+3100-5960.8</f>
    </nc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7" sId="1">
    <oc r="F507">
      <f>1500868.3+190658.5+196572.19+2729.8+3100-5960.8</f>
    </oc>
    <nc r="F507">
      <f>1500868.3+190658.5+196572.19+2729.8+3100-24660.8</f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18" sId="1" ref="A44:XFD44" action="insertRow"/>
  <rcc rId="4619" sId="1" odxf="1" dxf="1">
    <nc r="A44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4620" sId="1">
    <nc r="B44" t="inlineStr">
      <is>
        <t>01</t>
      </is>
    </nc>
  </rcc>
  <rcc rId="4621" sId="1">
    <nc r="C44" t="inlineStr">
      <is>
        <t>04</t>
      </is>
    </nc>
  </rcc>
  <rcc rId="4622" sId="1">
    <nc r="D44" t="inlineStr">
      <is>
        <t>99900 81020</t>
      </is>
    </nc>
  </rcc>
  <rcc rId="4623" sId="1">
    <nc r="E44" t="inlineStr">
      <is>
        <t>851</t>
      </is>
    </nc>
  </rcc>
  <rcc rId="4624" sId="1" numFmtId="4">
    <nc r="F44">
      <v>90</v>
    </nc>
  </rcc>
  <rcc rId="4625" sId="1">
    <oc r="F40">
      <f>SUM(F41:F45)</f>
    </oc>
    <nc r="F40">
      <f>SUM(F41:F45)</f>
    </nc>
  </rcc>
  <rcc rId="4626" sId="1" numFmtId="4">
    <oc r="F42">
      <v>3278.4</v>
    </oc>
    <nc r="F42">
      <v>3278.3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  <oldFormula>функцион.структура!$A$1:$F$504</oldFormula>
  </rdn>
  <rdn rId="0" localSheetId="1" customView="1" name="Z_629918FE_B1DF_464A_BF50_03D18729BC02_.wvu.FilterData" hidden="1" oldHidden="1">
    <formula>функцион.структура!$A$13:$F$511</formula>
    <oldFormula>функцион.структура!$A$13:$F$511</oldFormula>
  </rdn>
  <rcv guid="{629918FE-B1DF-464A-BF50-03D18729BC02}" action="add"/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9" sId="1" numFmtId="4">
    <oc r="F29">
      <v>100</v>
    </oc>
    <nc r="F29">
      <v>150</v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0" sId="1" numFmtId="4">
    <oc r="F91">
      <v>140.80000000000001</v>
    </oc>
    <nc r="F91">
      <v>193</v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1" sId="1" numFmtId="4">
    <oc r="F95">
      <v>280</v>
    </oc>
    <nc r="F95">
      <f>280+350</f>
    </nc>
  </rcc>
  <rcc rId="4632" sId="1" numFmtId="4">
    <oc r="F133">
      <v>2713.7</v>
    </oc>
    <nc r="F133">
      <v>2718.7</v>
    </nc>
  </rcc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3" sId="1" numFmtId="4">
    <oc r="F331">
      <v>1121.0999999999999</v>
    </oc>
    <nc r="F331">
      <v>1371.8</v>
    </nc>
  </rcc>
  <rcc rId="4634" sId="1" numFmtId="4">
    <oc r="F295">
      <v>12247</v>
    </oc>
    <nc r="F295">
      <v>12421.7</v>
    </nc>
  </rcc>
  <rcc rId="4635" sId="1" numFmtId="4">
    <oc r="F386">
      <v>8348.1</v>
    </oc>
    <nc r="F386">
      <v>9050.9</v>
    </nc>
  </rcc>
  <rcc rId="4636" sId="1" numFmtId="4">
    <oc r="F480">
      <v>24330.799999999999</v>
    </oc>
    <nc r="F480">
      <v>26585.200000000001</v>
    </nc>
  </rcc>
  <rcc rId="4637" sId="1">
    <oc r="F443">
      <f>1441.3+511+453.1</f>
    </oc>
    <nc r="F443">
      <f>1441.3+511+466.6</f>
    </nc>
  </rcc>
  <rcc rId="4638" sId="1" numFmtId="4">
    <oc r="F392">
      <v>14340.9</v>
    </oc>
    <nc r="F392">
      <f>15922.9-1222</f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9" sId="1" numFmtId="4">
    <oc r="F59">
      <v>671.8</v>
    </oc>
    <nc r="F59">
      <v>471.8</v>
    </nc>
  </rcc>
  <rrc rId="4640" sId="1" ref="A137:XFD137" action="insertRow"/>
  <rcc rId="4641" sId="1">
    <nc r="B137" t="inlineStr">
      <is>
        <t>01</t>
      </is>
    </nc>
  </rcc>
  <rcc rId="4642" sId="1">
    <nc r="C137" t="inlineStr">
      <is>
        <t>13</t>
      </is>
    </nc>
  </rcc>
  <rcc rId="4643" sId="1">
    <nc r="D137" t="inlineStr">
      <is>
        <t>99900 83590</t>
      </is>
    </nc>
  </rcc>
  <rcc rId="4644" sId="1" numFmtId="4">
    <nc r="F137">
      <v>200</v>
    </nc>
  </rcc>
  <rcc rId="4645" sId="1">
    <nc r="E137" t="inlineStr">
      <is>
        <t>112</t>
      </is>
    </nc>
  </rcc>
  <rfmt sheetId="1" sqref="A137">
    <dxf>
      <fill>
        <patternFill patternType="solid">
          <bgColor rgb="FFFFFF00"/>
        </patternFill>
      </fill>
    </dxf>
  </rfmt>
  <rrc rId="4646" sId="1" ref="A139:XFD139" action="insertRow"/>
  <rcc rId="4647" sId="1">
    <nc r="B139" t="inlineStr">
      <is>
        <t>01</t>
      </is>
    </nc>
  </rcc>
  <rcc rId="4648" sId="1">
    <nc r="C139" t="inlineStr">
      <is>
        <t>13</t>
      </is>
    </nc>
  </rcc>
  <rcc rId="4649" sId="1">
    <nc r="D139" t="inlineStr">
      <is>
        <t>99900 83590</t>
      </is>
    </nc>
  </rcc>
  <rcc rId="4650" sId="1">
    <nc r="E139" t="inlineStr">
      <is>
        <t>242</t>
      </is>
    </nc>
  </rcc>
  <rcc rId="4651" sId="1" numFmtId="4">
    <nc r="F139">
      <v>845.5</v>
    </nc>
  </rcc>
  <rcc rId="4652" sId="1" odxf="1" dxf="1">
    <nc r="A139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3" sId="1" numFmtId="4">
    <oc r="F141">
      <f>948+318</f>
    </oc>
    <nc r="F141">
      <v>1297.5</v>
    </nc>
  </rcc>
  <rcc rId="4654" sId="1" numFmtId="4">
    <oc r="F140">
      <v>60</v>
    </oc>
    <nc r="F140">
      <v>4318</v>
    </nc>
  </rcc>
  <rrc rId="4655" sId="1" ref="A142:XFD142" action="insertRow"/>
  <rcc rId="4656" sId="1">
    <nc r="B142" t="inlineStr">
      <is>
        <t>01</t>
      </is>
    </nc>
  </rcc>
  <rcc rId="4657" sId="1">
    <nc r="C142" t="inlineStr">
      <is>
        <t>13</t>
      </is>
    </nc>
  </rcc>
  <rcc rId="4658" sId="1">
    <nc r="D142" t="inlineStr">
      <is>
        <t>99900 83590</t>
      </is>
    </nc>
  </rcc>
  <rcc rId="4659" sId="1">
    <nc r="E142" t="inlineStr">
      <is>
        <t>852</t>
      </is>
    </nc>
  </rcc>
  <rrc rId="4660" sId="1" ref="A142:XFD142" action="insertRow"/>
  <rcc rId="4661" sId="1">
    <nc r="B142" t="inlineStr">
      <is>
        <t>01</t>
      </is>
    </nc>
  </rcc>
  <rcc rId="4662" sId="1">
    <nc r="C142" t="inlineStr">
      <is>
        <t>13</t>
      </is>
    </nc>
  </rcc>
  <rcc rId="4663" sId="1">
    <nc r="D142" t="inlineStr">
      <is>
        <t>99900 83590</t>
      </is>
    </nc>
  </rcc>
  <rcc rId="4664" sId="1">
    <nc r="E142" t="inlineStr">
      <is>
        <t>851</t>
      </is>
    </nc>
  </rcc>
  <rrc rId="4665" sId="1" ref="A142:XFD142" action="deleteRow">
    <rfmt sheetId="1" xfDxf="1" sqref="A142:XFD142" start="0" length="0">
      <dxf>
        <font>
          <name val="Times New Roman CYR"/>
          <family val="1"/>
        </font>
        <alignment wrapText="1"/>
      </dxf>
    </rfmt>
    <rfmt sheetId="1" sqref="A14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4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2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2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66" sId="1" numFmtId="4">
    <nc r="F142">
      <v>50</v>
    </nc>
  </rcc>
  <rfmt sheetId="1" sqref="A142">
    <dxf>
      <fill>
        <patternFill>
          <bgColor rgb="FFFFFF00"/>
        </patternFill>
      </fill>
    </dxf>
  </rfmt>
  <rcc rId="4667" sId="1" odxf="1" dxf="1">
    <nc r="A130" t="inlineStr">
      <is>
        <t>Прочие мероприятия, связанные с выполнением обязательств органов местного самоуправления</t>
      </is>
    </nc>
    <odxf>
      <font>
        <color indexed="8"/>
        <name val="Times New Roman"/>
        <family val="1"/>
      </font>
      <fill>
        <patternFill patternType="solid">
          <bgColor rgb="FFFFFF0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4668" sId="1" odxf="1" dxf="1">
    <nc r="A137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numFmt numFmtId="0" formatCode="General"/>
      <fill>
        <patternFill>
          <bgColor indexed="65"/>
        </patternFill>
      </fill>
      <alignment vertical="center"/>
    </ndxf>
  </rcc>
  <rcc rId="4669" sId="1" odxf="1" dxf="1">
    <nc r="A142" t="inlineStr">
      <is>
        <t xml:space="preserve">Уплата прочих налогов, сборов </t>
      </is>
    </nc>
    <ndxf>
      <fill>
        <patternFill>
          <bgColor indexed="65"/>
        </patternFill>
      </fill>
    </ndxf>
  </rcc>
  <rcc rId="4670" sId="1">
    <oc r="F135">
      <f>SUM(F136:F141)</f>
    </oc>
    <nc r="F135">
      <f>SUM(F136:F142)</f>
    </nc>
  </rcc>
  <rcc rId="4671" sId="1" numFmtId="4">
    <oc r="F176">
      <v>30</v>
    </oc>
    <nc r="F176">
      <v>10</v>
    </nc>
  </rcc>
  <rfmt sheetId="1" sqref="F189:F191">
    <dxf>
      <fill>
        <patternFill>
          <bgColor theme="0"/>
        </patternFill>
      </fill>
    </dxf>
  </rfmt>
  <rcc rId="4672" sId="1">
    <oc r="E189" t="inlineStr">
      <is>
        <t>622</t>
      </is>
    </oc>
    <nc r="E189" t="inlineStr">
      <is>
        <t>244</t>
      </is>
    </nc>
  </rcc>
  <rcc rId="4673" sId="1">
    <oc r="E191" t="inlineStr">
      <is>
        <t>622</t>
      </is>
    </oc>
    <nc r="E191" t="inlineStr">
      <is>
        <t>244</t>
      </is>
    </nc>
  </rcc>
  <rcc rId="4674" sId="1">
    <oc r="E194" t="inlineStr">
      <is>
        <t>621</t>
      </is>
    </oc>
    <nc r="E194" t="inlineStr">
      <is>
        <t>244</t>
      </is>
    </nc>
  </rcc>
  <rcc rId="4675" sId="1" odxf="1" dxf="1">
    <oc r="A189" t="inlineStr">
      <is>
        <t>Субсидии автономным учреждениям на иные цели</t>
      </is>
    </oc>
    <nc r="A189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4676" sId="1" odxf="1" dxf="1">
    <oc r="A191" t="inlineStr">
      <is>
        <t>Субсидии автономным учреждениям на иные цели</t>
      </is>
    </oc>
    <nc r="A191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4677" sId="1" odxf="1" dxf="1">
    <oc r="A19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9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78" sId="1" numFmtId="4">
    <oc r="F298">
      <v>12421.7</v>
    </oc>
    <nc r="F298">
      <v>11850.8</v>
    </nc>
  </rcc>
  <rcc rId="4679" sId="1" numFmtId="4">
    <oc r="F483">
      <v>26585.200000000001</v>
    </oc>
    <nc r="F483">
      <v>25141.9</v>
    </nc>
  </rcc>
  <rcc rId="4680" sId="1" numFmtId="4">
    <oc r="F494">
      <v>1847.2</v>
    </oc>
    <nc r="F494">
      <v>1877.4</v>
    </nc>
  </rcc>
  <rcc rId="4681" sId="1" numFmtId="4">
    <oc r="F495">
      <v>557.9</v>
    </oc>
    <nc r="F495">
      <v>567</v>
    </nc>
  </rcc>
  <rcc rId="4682" sId="1" numFmtId="4">
    <oc r="F496">
      <v>50</v>
    </oc>
    <nc r="F496">
      <v>13.8</v>
    </nc>
  </rcc>
  <rrc rId="4683" sId="1" ref="A498:XFD498" action="insertRow"/>
  <rcc rId="4684" sId="1">
    <nc r="E498" t="inlineStr">
      <is>
        <t>852</t>
      </is>
    </nc>
  </rcc>
  <rcc rId="4685" sId="1" numFmtId="4">
    <nc r="F498">
      <v>4</v>
    </nc>
  </rcc>
  <rcc rId="4686" sId="1" numFmtId="4">
    <oc r="F497">
      <v>50</v>
    </oc>
    <nc r="F497">
      <v>210</v>
    </nc>
  </rcc>
  <rcc rId="4687" sId="1">
    <nc r="B498" t="inlineStr">
      <is>
        <t>11</t>
      </is>
    </nc>
  </rcc>
  <rcc rId="4688" sId="1">
    <nc r="C498" t="inlineStr">
      <is>
        <t>05</t>
      </is>
    </nc>
  </rcc>
  <rcc rId="4689" sId="1">
    <nc r="D498" t="inlineStr">
      <is>
        <t>09401 83170</t>
      </is>
    </nc>
  </rcc>
  <rcc rId="4690" sId="1">
    <nc r="A498" t="inlineStr">
      <is>
        <t>Уплата прочих налогов, сборов</t>
      </is>
    </nc>
  </rcc>
  <rcc rId="4691" sId="1">
    <oc r="F493">
      <f>SUM(F494:F497)</f>
    </oc>
    <nc r="F493">
      <f>SUM(F494:F498)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0" sId="1" ref="A225:XFD225" action="insertRow"/>
  <rrc rId="861" sId="1" ref="A225:XFD225" action="insertRow"/>
  <rcc rId="862" sId="1" odxf="1" dxf="1">
    <nc r="A225" t="inlineStr">
      <is>
        <t>Прочие мероприятия, связанные с выполнением обязательств органов местного самоуправления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63" sId="1" odxf="1" dxf="1">
    <nc r="A22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solid">
          <bgColor indexed="9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864" sId="1" odxf="1" dxf="1">
    <nc r="B225" t="inlineStr">
      <is>
        <t>05</t>
      </is>
    </nc>
    <odxf/>
    <ndxf/>
  </rcc>
  <rcc rId="865" sId="1" odxf="1" dxf="1">
    <nc r="C225" t="inlineStr">
      <is>
        <t>02</t>
      </is>
    </nc>
    <odxf/>
    <ndxf/>
  </rcc>
  <rcc rId="866" sId="1" odxf="1" dxf="1">
    <nc r="D225" t="inlineStr">
      <is>
        <t>17001 82900</t>
      </is>
    </nc>
    <odxf/>
    <ndxf/>
  </rcc>
  <rfmt sheetId="1" sqref="E225" start="0" length="0">
    <dxf/>
  </rfmt>
  <rcc rId="867" sId="1" odxf="1" dxf="1">
    <nc r="F225">
      <f>F226</f>
    </nc>
    <odxf/>
    <ndxf/>
  </rcc>
  <rcc rId="868" sId="1" odxf="1" dxf="1">
    <nc r="B226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9" sId="1" odxf="1" dxf="1">
    <nc r="C226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0" sId="1" odxf="1" dxf="1">
    <nc r="D226" t="inlineStr">
      <is>
        <t>17001 82900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1" sId="1" odxf="1" dxf="1">
    <nc r="E226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2" sId="1" odxf="1" dxf="1">
    <nc r="F226">
      <f>692.16+105+43.87+66.04+22.5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3" sId="1">
    <oc r="F224">
      <f>F227</f>
    </oc>
    <nc r="F224">
      <f>F227+F225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33">
    <dxf>
      <fill>
        <patternFill>
          <bgColor theme="0"/>
        </patternFill>
      </fill>
    </dxf>
  </rfmt>
  <rfmt sheetId="1" sqref="F247">
    <dxf>
      <fill>
        <patternFill>
          <bgColor theme="0"/>
        </patternFill>
      </fill>
    </dxf>
  </rfmt>
  <rcc rId="4692" sId="1">
    <oc r="E247" t="inlineStr">
      <is>
        <t>465</t>
      </is>
    </oc>
    <nc r="E247" t="inlineStr">
      <is>
        <t>414</t>
      </is>
    </nc>
  </rcc>
  <rcc rId="4693" sId="1" odxf="1" dxf="1">
    <oc r="A247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24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4" sId="1" numFmtId="4">
    <oc r="F470">
      <v>150</v>
    </oc>
    <nc r="F470">
      <v>500</v>
    </nc>
  </rcc>
  <rcc rId="4695" sId="1">
    <nc r="A474" t="inlineStr">
      <is>
        <t>Основное мероприятие «Обеспечение специалистами сферы физической культуры и спорта»</t>
      </is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6" sId="1" numFmtId="4">
    <oc r="F416">
      <v>6828.8</v>
    </oc>
    <nc r="F416">
      <v>6924.5</v>
    </nc>
  </rcc>
  <rcc rId="4697" sId="1" numFmtId="4">
    <oc r="F417">
      <v>2062.3000000000002</v>
    </oc>
    <nc r="F417">
      <v>2091.1999999999998</v>
    </nc>
  </rcc>
  <rcc rId="4698" sId="1" numFmtId="4">
    <oc r="F418">
      <v>50</v>
    </oc>
    <nc r="F418">
      <v>40.700000000000003</v>
    </nc>
  </rcc>
  <rrc rId="4699" sId="1" ref="A420:XFD420" action="insertRow"/>
  <rcc rId="4700" sId="1">
    <nc r="E420" t="inlineStr">
      <is>
        <t>852</t>
      </is>
    </nc>
  </rcc>
  <rcc rId="4701" sId="1">
    <nc r="B420" t="inlineStr">
      <is>
        <t>08</t>
      </is>
    </nc>
  </rcc>
  <rcc rId="4702" sId="1">
    <nc r="C420" t="inlineStr">
      <is>
        <t>04</t>
      </is>
    </nc>
  </rcc>
  <rcc rId="4703" sId="1">
    <nc r="D420" t="inlineStr">
      <is>
        <t>08402 83160</t>
      </is>
    </nc>
  </rcc>
  <rcc rId="4704" sId="1" numFmtId="4">
    <nc r="F420">
      <v>5</v>
    </nc>
  </rcc>
  <rcc rId="4705" sId="1">
    <nc r="A420" t="inlineStr">
      <is>
        <t>Уплата прочих налогов, сборов</t>
      </is>
    </nc>
  </rcc>
  <rcc rId="4706" sId="1">
    <oc r="F415">
      <f>SUM(F416:F419)</f>
    </oc>
    <nc r="F415">
      <f>SUM(F416:F420)</f>
    </nc>
  </rcc>
  <rcc rId="4707" sId="1" numFmtId="4">
    <oc r="F419">
      <v>50</v>
    </oc>
    <nc r="F419">
      <v>252</v>
    </nc>
  </rcc>
  <rcc rId="4708" sId="1" numFmtId="4">
    <oc r="F404">
      <v>150</v>
    </oc>
    <nc r="F404">
      <v>534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09" sId="1">
    <oc r="F247">
      <f>29475.6+600</f>
    </oc>
    <nc r="F247">
      <f>29475.6+600+613.8</f>
    </nc>
  </rcc>
  <rcc rId="4710" sId="1">
    <oc r="F238">
      <f>14836.2+302.8+15.1389</f>
    </oc>
    <nc r="F238">
      <f>14836.2+302.8+15.1</f>
    </nc>
  </rcc>
  <rcc rId="4711" sId="1" numFmtId="4">
    <oc r="F258">
      <v>21313.599999999999</v>
    </oc>
    <nc r="F258">
      <f>23099+20000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2" sId="1">
    <oc r="E184" t="inlineStr">
      <is>
        <t>540</t>
      </is>
    </oc>
    <nc r="E184" t="inlineStr">
      <is>
        <t>244</t>
      </is>
    </nc>
  </rcc>
  <rcc rId="4713" sId="1" odxf="1" dxf="1">
    <oc r="A184" t="inlineStr">
      <is>
        <t>Иные межбюджетные трансферты</t>
      </is>
    </oc>
    <nc r="A18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88:F290">
    <dxf>
      <fill>
        <patternFill>
          <bgColor theme="0"/>
        </patternFill>
      </fill>
    </dxf>
  </rfmt>
  <rcc rId="4714" sId="1">
    <oc r="F276">
      <f>109531.5+5715.8</f>
    </oc>
    <nc r="F276">
      <f>109531.5+10620.1</f>
    </nc>
  </rcc>
  <rcc rId="4715" sId="1" numFmtId="4">
    <oc r="F272">
      <v>51389</v>
    </oc>
    <nc r="F272">
      <v>51536.4</v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6" sId="1">
    <oc r="E400" t="inlineStr">
      <is>
        <t>621</t>
      </is>
    </oc>
    <nc r="E400" t="inlineStr">
      <is>
        <t>622</t>
      </is>
    </nc>
  </rcc>
  <rcc rId="4717" sId="1">
    <oc r="A40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0" t="inlineStr">
      <is>
        <t>Субсидии автономным учреждениям на иные цели</t>
      </is>
    </nc>
  </rcc>
  <rcc rId="4718" sId="1">
    <oc r="F400">
      <f>110292.9+2250.9+565.6</f>
    </oc>
    <nc r="F400">
      <f>179751.5+3668.5+921.8</f>
    </nc>
  </rcc>
  <rcc rId="4719" sId="1">
    <oc r="E399" t="inlineStr">
      <is>
        <t>540</t>
      </is>
    </oc>
    <nc r="E399" t="inlineStr">
      <is>
        <t>414</t>
      </is>
    </nc>
  </rcc>
  <rcc rId="4720" sId="1">
    <oc r="A399" t="inlineStr">
      <is>
        <t>Иные межбюджетные трансферты</t>
      </is>
    </oc>
    <nc r="A399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4721" sId="1">
    <oc r="F399">
      <f>125891.7+2569.3+656.4</f>
    </oc>
    <nc r="F399">
      <f>56433.1+1151.7+300.2</f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2" sId="1" numFmtId="4">
    <oc r="F305">
      <v>992.9</v>
    </oc>
    <nc r="F305">
      <v>814.5</v>
    </nc>
  </rcc>
  <rcc rId="4723" sId="1">
    <oc r="F308">
      <f>10159.152+12754.7</f>
    </oc>
    <nc r="F308">
      <f>10159.152+12015.5</f>
    </nc>
  </rcc>
  <rcc rId="4724" sId="1">
    <oc r="F309">
      <f>32170.648+20925.4</f>
    </oc>
    <nc r="F309">
      <f>32170.648+27897.7</f>
    </nc>
  </rcc>
  <rcc rId="4725" sId="1" numFmtId="4">
    <oc r="F306">
      <v>1951.4</v>
    </oc>
    <nc r="F306">
      <v>1815.8</v>
    </nc>
  </rcc>
  <rcc rId="4726" sId="1" numFmtId="4">
    <oc r="F363">
      <v>4146.8</v>
    </oc>
    <nc r="F363">
      <v>2638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7" sId="1">
    <oc r="F473">
      <f>7486</f>
    </oc>
    <nc r="F473">
      <f>7486+556.2</f>
    </nc>
  </rcc>
  <rrc rId="4728" sId="1" ref="A500:XFD506" action="insertRow"/>
  <rfmt sheetId="1" sqref="A50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fmt sheetId="1" sqref="B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C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0:XFD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1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fmt sheetId="1" sqref="B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G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1:XFD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2" start="0" length="0">
    <dxf>
      <font>
        <b/>
        <name val="Times New Roman"/>
        <family val="1"/>
      </font>
    </dxf>
  </rfmt>
  <rfmt sheetId="1" sqref="C502" start="0" length="0">
    <dxf>
      <font>
        <b/>
        <name val="Times New Roman"/>
        <family val="1"/>
      </font>
    </dxf>
  </rfmt>
  <rfmt sheetId="1" sqref="D502" start="0" length="0">
    <dxf>
      <font>
        <b/>
        <name val="Times New Roman"/>
        <family val="1"/>
      </font>
    </dxf>
  </rfmt>
  <rfmt sheetId="1" sqref="E502" start="0" length="0">
    <dxf>
      <font>
        <b/>
        <name val="Times New Roman"/>
        <family val="1"/>
      </font>
    </dxf>
  </rfmt>
  <rfmt sheetId="1" sqref="F50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503" start="0" length="0">
    <dxf>
      <font>
        <b/>
        <i/>
        <color indexed="8"/>
        <name val="Times New Roman"/>
        <family val="1"/>
      </font>
      <fill>
        <patternFill patternType="none"/>
      </fill>
      <alignment horizontal="general"/>
    </dxf>
  </rfmt>
  <rfmt sheetId="1" sqref="B503" start="0" length="0">
    <dxf>
      <font>
        <b/>
        <i/>
        <name val="Times New Roman"/>
        <family val="1"/>
      </font>
    </dxf>
  </rfmt>
  <rfmt sheetId="1" sqref="C503" start="0" length="0">
    <dxf>
      <font>
        <b/>
        <i/>
        <name val="Times New Roman"/>
        <family val="1"/>
      </font>
    </dxf>
  </rfmt>
  <rfmt sheetId="1" sqref="D503" start="0" length="0">
    <dxf>
      <font>
        <b/>
        <i/>
        <name val="Times New Roman"/>
        <family val="1"/>
      </font>
    </dxf>
  </rfmt>
  <rfmt sheetId="1" sqref="E503" start="0" length="0">
    <dxf>
      <font>
        <b/>
        <i/>
        <name val="Times New Roman"/>
        <family val="1"/>
      </font>
    </dxf>
  </rfmt>
  <rfmt sheetId="1" sqref="F503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A504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4" start="0" length="0">
    <dxf>
      <font>
        <i/>
        <name val="Times New Roman"/>
        <family val="1"/>
      </font>
    </dxf>
  </rfmt>
  <rfmt sheetId="1" sqref="C504" start="0" length="0">
    <dxf>
      <font>
        <i/>
        <name val="Times New Roman"/>
        <family val="1"/>
      </font>
    </dxf>
  </rfmt>
  <rfmt sheetId="1" sqref="D504" start="0" length="0">
    <dxf>
      <font>
        <i/>
        <name val="Times New Roman"/>
        <family val="1"/>
      </font>
    </dxf>
  </rfmt>
  <rfmt sheetId="1" sqref="E504" start="0" length="0">
    <dxf>
      <font>
        <i/>
        <name val="Times New Roman"/>
        <family val="1"/>
      </font>
    </dxf>
  </rfmt>
  <rfmt sheetId="1" sqref="F50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4:XFD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5" start="0" length="0">
    <dxf>
      <font>
        <i/>
        <name val="Times New Roman"/>
        <family val="1"/>
      </font>
    </dxf>
  </rfmt>
  <rfmt sheetId="1" sqref="C505" start="0" length="0">
    <dxf>
      <font>
        <i/>
        <name val="Times New Roman"/>
        <family val="1"/>
      </font>
    </dxf>
  </rfmt>
  <rfmt sheetId="1" sqref="D505" start="0" length="0">
    <dxf>
      <font>
        <i/>
        <name val="Times New Roman"/>
        <family val="1"/>
      </font>
    </dxf>
  </rfmt>
  <rfmt sheetId="1" sqref="E505" start="0" length="0">
    <dxf>
      <font>
        <i/>
        <name val="Times New Roman"/>
        <family val="1"/>
      </font>
    </dxf>
  </rfmt>
  <rfmt sheetId="1" sqref="F5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5:XFD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6" start="0" length="0">
    <dxf>
      <font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F506" start="0" length="0">
    <dxf>
      <fill>
        <patternFill patternType="none">
          <bgColor indexed="65"/>
        </patternFill>
      </fill>
    </dxf>
  </rfmt>
  <rfmt sheetId="1" sqref="G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6:XFD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cc rId="4729" sId="1" odxf="1" dxf="1">
    <nc r="A500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4730" sId="1" odxf="1" dxf="1">
    <nc r="A501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4731" sId="1">
    <nc r="A502" t="inlineStr">
      <is>
        <t>Муниципальная Программа «Управление муниципальными финансами и муниципальным долгом на 2020-2024 годы</t>
      </is>
    </nc>
  </rcc>
  <rcc rId="4732" sId="1" odxf="1" dxf="1">
    <nc r="A503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4733" sId="1" odxf="1" dxf="1">
    <nc r="A504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734" sId="1" odxf="1" dxf="1">
    <nc r="A505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735" sId="1" odxf="1" dxf="1">
    <nc r="A506" t="inlineStr">
      <is>
        <t>Обслуживание муниципального долга</t>
      </is>
    </nc>
    <ndxf>
      <alignment vertical="bottom" wrapText="0"/>
    </ndxf>
  </rcc>
  <rcc rId="4736" sId="1">
    <nc r="B500" t="inlineStr">
      <is>
        <t>13</t>
      </is>
    </nc>
  </rcc>
  <rcc rId="4737" sId="1">
    <nc r="F500">
      <f>F501</f>
    </nc>
  </rcc>
  <rcc rId="4738" sId="1">
    <nc r="B501" t="inlineStr">
      <is>
        <t>13</t>
      </is>
    </nc>
  </rcc>
  <rcc rId="4739" sId="1">
    <nc r="C501" t="inlineStr">
      <is>
        <t>01</t>
      </is>
    </nc>
  </rcc>
  <rcc rId="4740" sId="1">
    <nc r="F501">
      <f>F502</f>
    </nc>
  </rcc>
  <rcc rId="4741" sId="1">
    <nc r="B502" t="inlineStr">
      <is>
        <t>13</t>
      </is>
    </nc>
  </rcc>
  <rcc rId="4742" sId="1">
    <nc r="C502" t="inlineStr">
      <is>
        <t>01</t>
      </is>
    </nc>
  </rcc>
  <rcc rId="4743" sId="1">
    <nc r="D502" t="inlineStr">
      <is>
        <t>02000 00000</t>
      </is>
    </nc>
  </rcc>
  <rcc rId="4744" sId="1">
    <nc r="F502">
      <f>F503</f>
    </nc>
  </rcc>
  <rcc rId="4745" sId="1">
    <nc r="B503" t="inlineStr">
      <is>
        <t>13</t>
      </is>
    </nc>
  </rcc>
  <rcc rId="4746" sId="1">
    <nc r="C503" t="inlineStr">
      <is>
        <t>01</t>
      </is>
    </nc>
  </rcc>
  <rcc rId="4747" sId="1">
    <nc r="D503" t="inlineStr">
      <is>
        <t>02300 00000</t>
      </is>
    </nc>
  </rcc>
  <rcc rId="4748" sId="1">
    <nc r="F503">
      <f>F504</f>
    </nc>
  </rcc>
  <rcc rId="4749" sId="1">
    <nc r="B504" t="inlineStr">
      <is>
        <t>13</t>
      </is>
    </nc>
  </rcc>
  <rcc rId="4750" sId="1">
    <nc r="C504" t="inlineStr">
      <is>
        <t>01</t>
      </is>
    </nc>
  </rcc>
  <rcc rId="4751" sId="1">
    <nc r="D504" t="inlineStr">
      <is>
        <t>02301 00000</t>
      </is>
    </nc>
  </rcc>
  <rcc rId="4752" sId="1">
    <nc r="F504">
      <f>F505</f>
    </nc>
  </rcc>
  <rcc rId="4753" sId="1">
    <nc r="B505" t="inlineStr">
      <is>
        <t>13</t>
      </is>
    </nc>
  </rcc>
  <rcc rId="4754" sId="1">
    <nc r="C505" t="inlineStr">
      <is>
        <t>01</t>
      </is>
    </nc>
  </rcc>
  <rcc rId="4755" sId="1">
    <nc r="D505" t="inlineStr">
      <is>
        <t>02301 87010</t>
      </is>
    </nc>
  </rcc>
  <rcc rId="4756" sId="1">
    <nc r="F505">
      <f>SUM(F506)</f>
    </nc>
  </rcc>
  <rcc rId="4757" sId="1">
    <nc r="B506" t="inlineStr">
      <is>
        <t>13</t>
      </is>
    </nc>
  </rcc>
  <rcc rId="4758" sId="1">
    <nc r="C506" t="inlineStr">
      <is>
        <t>01</t>
      </is>
    </nc>
  </rcc>
  <rcc rId="4759" sId="1">
    <nc r="D506" t="inlineStr">
      <is>
        <t>02301 87010</t>
      </is>
    </nc>
  </rcc>
  <rcc rId="4760" sId="1">
    <nc r="E506" t="inlineStr">
      <is>
        <t>730</t>
      </is>
    </nc>
  </rcc>
  <rcc rId="4761" sId="1" numFmtId="4">
    <nc r="F506">
      <v>13.72137</v>
    </nc>
  </rcc>
  <rcc rId="4762" sId="1">
    <oc r="F516">
      <f>F14+F145+F151+F221+F248+F383+F425+F465+F507</f>
    </oc>
    <nc r="F516">
      <f>F14+F145+F151+F221+F248+F383+F425+F465+F507+F500</f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3" sId="1">
    <oc r="F258">
      <f>23099+20000</f>
    </oc>
    <nc r="F258">
      <f>23099+20000-242.01475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1" sId="1" numFmtId="4">
    <oc r="F53">
      <v>718.7</v>
    </oc>
    <nc r="F53">
      <v>644</v>
    </nc>
  </rcc>
  <rcc rId="682" sId="1" numFmtId="4">
    <oc r="F117">
      <v>366.44</v>
    </oc>
    <nc r="F117">
      <v>403</v>
    </nc>
  </rcc>
  <rcc rId="683" sId="1" numFmtId="4">
    <oc r="F118">
      <v>110.66</v>
    </oc>
    <nc r="F118">
      <v>121.8</v>
    </nc>
  </rcc>
  <rcc rId="684" sId="1" numFmtId="4">
    <oc r="F122">
      <v>484.78</v>
    </oc>
    <nc r="F122">
      <v>533.29999999999995</v>
    </nc>
  </rcc>
  <rcc rId="685" sId="1" numFmtId="4">
    <oc r="F123">
      <v>146.405</v>
    </oc>
    <nc r="F123">
      <v>160.98500000000001</v>
    </nc>
  </rcc>
  <rcc rId="686" sId="1" numFmtId="4">
    <oc r="F127">
      <v>314.3</v>
    </oc>
    <nc r="F127">
      <v>345.7</v>
    </nc>
  </rcc>
  <rcc rId="687" sId="1" numFmtId="4">
    <oc r="F128">
      <v>94.89</v>
    </oc>
    <nc r="F128">
      <v>104.39</v>
    </nc>
  </rcc>
  <rcc rId="688" sId="1">
    <oc r="F146">
      <f>10792+1199.1</f>
    </oc>
    <nc r="F146">
      <f>9849+1199.1</f>
    </nc>
  </rcc>
  <rcc rId="689" sId="1" numFmtId="4">
    <oc r="F166">
      <v>60.8</v>
    </oc>
    <nc r="F166">
      <v>146.69999999999999</v>
    </nc>
  </rcc>
  <rcc rId="690" sId="1" numFmtId="4">
    <oc r="F173">
      <v>7</v>
    </oc>
    <nc r="F173">
      <v>16.899999999999999</v>
    </nc>
  </rcc>
  <rcc rId="691" sId="1" numFmtId="4">
    <oc r="F174">
      <v>2.1</v>
    </oc>
    <nc r="F174">
      <v>5.0999999999999996</v>
    </nc>
  </rcc>
  <rcc rId="692" sId="1">
    <oc r="F210">
      <f>195+181</f>
    </oc>
    <nc r="F210">
      <f>181</f>
    </nc>
  </rcc>
  <rcc rId="693" sId="1" numFmtId="4">
    <oc r="F213">
      <v>3</v>
    </oc>
    <nc r="F213">
      <v>3.2</v>
    </nc>
  </rcc>
  <rcc rId="694" sId="1" numFmtId="4">
    <oc r="F218">
      <v>4759.1000000000004</v>
    </oc>
    <nc r="F218">
      <f>404031.4+7421</f>
    </nc>
  </rcc>
  <rfmt sheetId="1" sqref="F236">
    <dxf>
      <fill>
        <patternFill>
          <bgColor rgb="FFFFFF00"/>
        </patternFill>
      </fill>
    </dxf>
  </rfmt>
  <rcc rId="695" sId="1" numFmtId="4">
    <oc r="F437">
      <v>1006.04</v>
    </oc>
    <nc r="F437">
      <v>1098.5</v>
    </nc>
  </rcc>
  <rcc rId="696" sId="1" numFmtId="4">
    <oc r="F438">
      <v>303.83999999999997</v>
    </oc>
    <nc r="F438">
      <v>331.68</v>
    </nc>
  </rcc>
  <rcc rId="697" sId="1" numFmtId="4">
    <oc r="F442">
      <v>1292.9000000000001</v>
    </oc>
    <nc r="F442">
      <v>1422.1</v>
    </nc>
  </rcc>
  <rcc rId="698" sId="1" numFmtId="4">
    <oc r="F443">
      <v>390.4</v>
    </oc>
    <nc r="F443">
      <v>429.5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4" sId="1" numFmtId="4">
    <oc r="F378">
      <v>6544.8</v>
    </oc>
    <nc r="F378">
      <v>7395.8</v>
    </nc>
  </rcc>
  <rcc rId="875" sId="1" numFmtId="4">
    <oc r="F384">
      <v>10205.1</v>
    </oc>
    <nc r="F384">
      <v>11622.2</v>
    </nc>
  </rcc>
  <rcc rId="876" sId="1" numFmtId="4">
    <oc r="F391">
      <v>680</v>
    </oc>
    <nc r="F391">
      <v>780</v>
    </nc>
  </rcc>
  <rcc rId="877" sId="1" numFmtId="4">
    <oc r="F405">
      <v>487.22</v>
    </oc>
    <nc r="F405">
      <v>636.54999999999995</v>
    </nc>
  </rcc>
  <rcc rId="878" sId="1" numFmtId="4">
    <oc r="F406">
      <v>147.13999999999999</v>
    </oc>
    <nc r="F406">
      <v>192.24</v>
    </nc>
  </rcc>
  <rcc rId="879" sId="1" numFmtId="4">
    <oc r="F408">
      <v>5183.8500000000004</v>
    </oc>
    <nc r="F408">
      <v>6328.91</v>
    </nc>
  </rcc>
  <rcc rId="880" sId="1" numFmtId="4">
    <oc r="F409">
      <v>1565.52</v>
    </oc>
    <nc r="F409">
      <v>1911.33</v>
    </nc>
  </rcc>
  <rcc rId="881" sId="1" numFmtId="4">
    <oc r="F410">
      <v>56.1</v>
    </oc>
    <nc r="F410">
      <v>117.23</v>
    </nc>
  </rcc>
  <rcc rId="882" sId="1" numFmtId="4">
    <oc r="F411">
      <v>62.07</v>
    </oc>
    <nc r="F411">
      <v>155.78</v>
    </nc>
  </rcc>
  <rcc rId="883" sId="1" numFmtId="4">
    <oc r="F326">
      <v>1005.2</v>
    </oc>
    <nc r="F326">
      <v>1273.3</v>
    </nc>
  </rcc>
  <rcc rId="884" sId="1" numFmtId="4">
    <oc r="F480">
      <v>20354.099999999999</v>
    </oc>
    <nc r="F480">
      <v>24589.9</v>
    </nc>
  </rcc>
  <rcc rId="885" sId="1" numFmtId="4">
    <oc r="F488">
      <v>474.93</v>
    </oc>
    <nc r="F488">
      <v>620.15</v>
    </nc>
  </rcc>
  <rcc rId="886" sId="1" numFmtId="4">
    <oc r="F489">
      <v>143.43</v>
    </oc>
    <nc r="F489">
      <v>187.25</v>
    </nc>
  </rcc>
  <rcc rId="887" sId="1" numFmtId="4">
    <oc r="F491">
      <v>1373.46</v>
    </oc>
    <nc r="F491">
      <v>1725.64</v>
    </nc>
  </rcc>
  <rcc rId="888" sId="1" numFmtId="4">
    <oc r="F492">
      <v>414.79</v>
    </oc>
    <nc r="F492">
      <v>521.14</v>
    </nc>
  </rcc>
  <rcc rId="889" sId="1" numFmtId="4">
    <oc r="F493">
      <v>23.25</v>
    </oc>
    <nc r="F493">
      <v>58.5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4" sId="1">
    <oc r="G516">
      <f>SUM(G12:G515)</f>
    </oc>
    <nc r="G516">
      <f>SUM(G12:G515)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5" sId="1">
    <oc r="E233" t="inlineStr">
      <is>
        <t>540</t>
      </is>
    </oc>
    <nc r="E233" t="inlineStr">
      <is>
        <t>244</t>
      </is>
    </nc>
  </rcc>
  <rcc rId="4766" sId="1" odxf="1" dxf="1">
    <oc r="A233" t="inlineStr">
      <is>
        <t>Иные межбюджетные трансферты</t>
      </is>
    </oc>
    <nc r="A233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7" sId="1" odxf="1" dxf="1">
    <oc r="A310" t="inlineStr">
      <is>
        <t>Основное мероприятие «Капитальный ремонт учреждений дополнительного образования»</t>
      </is>
    </oc>
    <nc r="A310" t="inlineStr">
      <is>
        <t>Непрограммные расходы</t>
      </is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fmt sheetId="1" sqref="B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fmt sheetId="1" sqref="C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cc rId="4768" sId="1" odxf="1" dxf="1">
    <oc r="D310" t="inlineStr">
      <is>
        <t>10303 00000</t>
      </is>
    </oc>
    <nc r="D310" t="inlineStr">
      <is>
        <t>99900 00000</t>
      </is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fmt sheetId="1" sqref="E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fmt sheetId="1" sqref="F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cc rId="4769" sId="1">
    <oc r="D311" t="inlineStr">
      <is>
        <t>10303 S2М40</t>
      </is>
    </oc>
    <nc r="D311" t="inlineStr">
      <is>
        <t>99900 S2М40</t>
      </is>
    </nc>
  </rcc>
  <rcc rId="4770" sId="1">
    <oc r="D312" t="inlineStr">
      <is>
        <t>10303 S2М40</t>
      </is>
    </oc>
    <nc r="D312" t="inlineStr">
      <is>
        <t>99900 S2М40</t>
      </is>
    </nc>
  </rcc>
  <rcc rId="4771" sId="1">
    <oc r="D313" t="inlineStr">
      <is>
        <t>10303 L5760</t>
      </is>
    </oc>
    <nc r="D313" t="inlineStr">
      <is>
        <t>99900 L5760</t>
      </is>
    </nc>
  </rcc>
  <rcc rId="4772" sId="1">
    <oc r="D314" t="inlineStr">
      <is>
        <t>10303 L5760</t>
      </is>
    </oc>
    <nc r="D314" t="inlineStr">
      <is>
        <t>99900 L5760</t>
      </is>
    </nc>
  </rcc>
  <rcc rId="4773" sId="1">
    <oc r="F310">
      <f>F313+F311</f>
    </oc>
    <nc r="F310">
      <f>F311+F313</f>
    </nc>
  </rcc>
  <rcc rId="4774" sId="1">
    <oc r="F293">
      <f>F294+F301</f>
    </oc>
    <nc r="F293">
      <f>F294+F301+F310</f>
    </nc>
  </rcc>
  <rrc rId="4775" sId="1" ref="A319:XFD323" action="insertRow"/>
  <rm rId="4776" sheetId="1" source="A310:XFD314" destination="A319:XFD323" sourceSheetId="1">
    <rfmt sheetId="1" xfDxf="1" sqref="A319:XFD319" start="0" length="0">
      <dxf>
        <font>
          <name val="Times New Roman CYR"/>
          <family val="1"/>
        </font>
        <alignment wrapText="1"/>
      </dxf>
    </rfmt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sqref="A3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77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78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79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80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81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cc rId="4782" sId="1">
    <oc r="F302">
      <f>F303+F314</f>
    </oc>
    <nc r="F302">
      <f>F303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функцион.структура!$A$1:$F$516</formula>
    <oldFormula>функцион.структура!$A$1:$F$516</oldFormula>
  </rdn>
  <rdn rId="0" localSheetId="1" customView="1" name="Z_629918FE_B1DF_464A_BF50_03D18729BC02_.wvu.FilterData" hidden="1" oldHidden="1">
    <formula>функцион.структура!$A$13:$F$523</formula>
    <oldFormula>функцион.структура!$A$13:$F$523</oldFormula>
  </rdn>
  <rcv guid="{629918FE-B1DF-464A-BF50-03D18729BC02}" action="add"/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75:F375">
    <dxf>
      <fill>
        <patternFill>
          <bgColor theme="0"/>
        </patternFill>
      </fill>
    </dxf>
  </rfmt>
  <rcc rId="4785" sId="1">
    <oc r="D472" t="inlineStr">
      <is>
        <t>09101 L5760</t>
      </is>
    </oc>
    <nc r="D472" t="inlineStr">
      <is>
        <t>99900 L5760</t>
      </is>
    </nc>
  </rcc>
  <rcc rId="4786" sId="1">
    <oc r="D473" t="inlineStr">
      <is>
        <t>09101 L5760</t>
      </is>
    </oc>
    <nc r="D473" t="inlineStr">
      <is>
        <t>99900 L5760</t>
      </is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87" sId="1" ref="A472:XFD472" action="insertRow"/>
  <rcc rId="4788" sId="1" odxf="1" dxf="1">
    <nc r="A472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  <border outline="0">
        <left/>
      </border>
    </odxf>
    <ndxf>
      <font>
        <b/>
        <name val="Times New Roman"/>
        <family val="1"/>
      </font>
      <alignment horizontal="general" vertical="center"/>
      <border outline="0">
        <left style="thin">
          <color indexed="64"/>
        </left>
      </border>
    </ndxf>
  </rcc>
  <rfmt sheetId="1" sqref="B472" start="0" length="0">
    <dxf>
      <font>
        <b/>
        <name val="Times New Roman"/>
        <family val="1"/>
      </font>
    </dxf>
  </rfmt>
  <rfmt sheetId="1" sqref="C472" start="0" length="0">
    <dxf>
      <font>
        <b/>
        <name val="Times New Roman"/>
        <family val="1"/>
      </font>
    </dxf>
  </rfmt>
  <rcc rId="4789" sId="1" odxf="1" dxf="1">
    <nc r="D472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72" start="0" length="0">
    <dxf>
      <font>
        <b/>
        <name val="Times New Roman"/>
        <family val="1"/>
      </font>
    </dxf>
  </rfmt>
  <rfmt sheetId="1" sqref="F47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790" sId="1">
    <nc r="B472" t="inlineStr">
      <is>
        <t>11</t>
      </is>
    </nc>
  </rcc>
  <rcc rId="4791" sId="1">
    <nc r="C472" t="inlineStr">
      <is>
        <t>02</t>
      </is>
    </nc>
  </rcc>
  <rcc rId="4792" sId="1">
    <nc r="F472">
      <f>F473</f>
    </nc>
  </rcc>
  <rcc rId="4793" sId="1">
    <oc r="F468">
      <f>F469+F473</f>
    </oc>
    <nc r="F468">
      <f>F469</f>
    </nc>
  </rcc>
  <rcc rId="4794" sId="1">
    <oc r="F470">
      <f>SUM(F471:F471)</f>
    </oc>
    <nc r="F470">
      <f>SUM(F471:F471)</f>
    </nc>
  </rcc>
  <rrc rId="4795" sId="1" ref="A480:XFD482" action="insertRow"/>
  <rm rId="4796" sheetId="1" source="A472:XFD474" destination="A480:XFD482" sourceSheetId="1">
    <rfmt sheetId="1" xfDxf="1" sqref="A480:XFD480" start="0" length="0">
      <dxf>
        <font>
          <name val="Times New Roman CYR"/>
          <family val="1"/>
        </font>
        <alignment wrapText="1"/>
      </dxf>
    </rfmt>
    <rfmt sheetId="1" xfDxf="1" sqref="A481:XFD481" start="0" length="0">
      <dxf>
        <font>
          <name val="Times New Roman CYR"/>
          <family val="1"/>
        </font>
        <alignment wrapText="1"/>
      </dxf>
    </rfmt>
    <rfmt sheetId="1" xfDxf="1" sqref="A482:XFD482" start="0" length="0">
      <dxf>
        <font>
          <name val="Times New Roman CYR"/>
          <family val="1"/>
        </font>
        <alignment wrapText="1"/>
      </dxf>
    </rfmt>
    <rfmt sheetId="1" sqref="A480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0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97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rc rId="4798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rc rId="4799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cc rId="4800" sId="1">
    <oc r="F466">
      <f>F467</f>
    </oc>
    <nc r="F466">
      <f>F467+F477</f>
    </nc>
  </rcc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1" sId="1" ref="A408:XFD408" action="insertRow"/>
  <rrc rId="4802" sId="1" ref="A408:XFD408" action="insertRow"/>
  <rrc rId="4803" sId="1" ref="A408:XFD408" action="insertRow"/>
  <rm rId="4804" sheetId="1" source="A398:XFD400" destination="A408:XFD410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xfDxf="1" sqref="A409:XFD409" start="0" length="0">
      <dxf>
        <font>
          <name val="Times New Roman CYR"/>
          <family val="1"/>
        </font>
        <alignment wrapText="1"/>
      </dxf>
    </rfmt>
    <rfmt sheetId="1" xfDxf="1" sqref="A410:XFD410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v guid="{629918FE-B1DF-464A-BF50-03D18729BC02}" action="delete"/>
  <rdn rId="0" localSheetId="1" customView="1" name="Z_629918FE_B1DF_464A_BF50_03D18729BC02_.wvu.PrintArea" hidden="1" oldHidden="1">
    <formula>функцион.структура!$A$1:$F$520</formula>
    <oldFormula>функцион.структура!$A$1:$F$520</oldFormula>
  </rdn>
  <rdn rId="0" localSheetId="1" customView="1" name="Z_629918FE_B1DF_464A_BF50_03D18729BC02_.wvu.FilterData" hidden="1" oldHidden="1">
    <formula>функцион.структура!$A$13:$F$527</formula>
    <oldFormula>функцион.структура!$A$13:$F$527</oldFormula>
  </rdn>
  <rcv guid="{629918FE-B1DF-464A-BF50-03D18729BC02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7" sId="1" ref="A398:XFD398" action="deleteRow">
    <rfmt sheetId="1" xfDxf="1" sqref="A398:XFD398" start="0" length="0"/>
  </rrc>
  <rrc rId="4808" sId="1" ref="A398:XFD398" action="deleteRow">
    <rfmt sheetId="1" xfDxf="1" sqref="A398:XFD398" start="0" length="0"/>
  </rrc>
  <rrc rId="4809" sId="1" ref="A398:XFD398" action="deleteRow">
    <rfmt sheetId="1" xfDxf="1" sqref="A398:XFD398" start="0" length="0"/>
  </rrc>
  <rcc rId="4810" sId="1">
    <oc r="F402">
      <f>F403</f>
    </oc>
    <nc r="F402">
      <f>F403+F405</f>
    </nc>
  </rcc>
  <rcc rId="4811" sId="1">
    <oc r="D405" t="inlineStr">
      <is>
        <t>08201 L5760</t>
      </is>
    </oc>
    <nc r="D405" t="inlineStr">
      <is>
        <t>99900 L5760</t>
      </is>
    </nc>
  </rcc>
  <rcc rId="4812" sId="1">
    <oc r="D406" t="inlineStr">
      <is>
        <t>08201 L5760</t>
      </is>
    </oc>
    <nc r="D406" t="inlineStr">
      <is>
        <t>99900 L5760</t>
      </is>
    </nc>
  </rcc>
  <rcc rId="4813" sId="1">
    <oc r="D407" t="inlineStr">
      <is>
        <t>08201 L5760</t>
      </is>
    </oc>
    <nc r="D407" t="inlineStr">
      <is>
        <t>99900 L5760</t>
      </is>
    </nc>
  </rcc>
  <rcc rId="4814" sId="1">
    <oc r="F393">
      <f>F396+F394+F405</f>
    </oc>
    <nc r="F393">
      <f>F396+F394</f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5" sId="1" numFmtId="4">
    <oc r="F82">
      <v>300</v>
    </oc>
    <nc r="F82">
      <v>400</v>
    </nc>
  </rcc>
  <rcc rId="4816" sId="1">
    <oc r="F258">
      <f>23099+20000-242.01475</f>
    </oc>
    <nc r="F258">
      <f>23099+20000-242.01475-100</f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7" sId="1" odxf="1" dxf="1">
    <oc r="A201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201" t="inlineStr">
      <is>
        <t>Субсидия на комплексные кадастровые работы, финансируемые из средств республиканского бюджета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fmt sheetId="1" sqref="B201" start="0" length="0">
    <dxf>
      <font>
        <name val="Times New Roman"/>
        <family val="1"/>
      </font>
    </dxf>
  </rfmt>
  <rfmt sheetId="1" sqref="C201" start="0" length="0">
    <dxf>
      <font>
        <name val="Times New Roman"/>
        <family val="1"/>
      </font>
    </dxf>
  </rfmt>
  <rfmt sheetId="1" sqref="D201" start="0" length="0">
    <dxf>
      <font>
        <name val="Times New Roman"/>
        <family val="1"/>
      </font>
    </dxf>
  </rfmt>
  <rfmt sheetId="1" sqref="E201" start="0" length="0">
    <dxf>
      <font>
        <name val="Times New Roman"/>
        <family val="1"/>
      </font>
    </dxf>
  </rfmt>
  <rcc rId="4818" sId="1" odxf="1" dxf="1">
    <oc r="F201">
      <f>F202</f>
    </oc>
    <nc r="F201">
      <f>F202</f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fmt sheetId="1" sqref="E202" start="0" length="0">
    <dxf>
      <fill>
        <patternFill patternType="solid">
          <bgColor theme="0"/>
        </patternFill>
      </fill>
    </dxf>
  </rfmt>
  <rcc rId="4819" sId="1">
    <oc r="F202">
      <f>367.6+19.4</f>
    </oc>
    <nc r="F202">
      <f>367.6386+19.4</f>
    </nc>
  </rcc>
  <rrc rId="4820" sId="1" ref="A198:XFD198" action="insertRow"/>
  <rrc rId="4821" sId="1" ref="A198:XFD198" action="insertRow"/>
  <rrc rId="4822" sId="1" ref="A200:XFD203" action="insertRow"/>
  <rm rId="4823" sheetId="1" source="A207:XFD210" destination="A200:XFD203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xfDxf="1" sqref="A202:XFD202" start="0" length="0">
      <dxf>
        <font>
          <name val="Times New Roman CYR"/>
          <family val="1"/>
        </font>
        <alignment wrapText="1"/>
      </dxf>
    </rfmt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b/>
          <name val="Times New Roman"/>
          <family val="1"/>
        </font>
      </dxf>
    </rfmt>
    <rfmt sheetId="1" sqref="B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b/>
          <name val="Times New Roman"/>
          <family val="1"/>
        </font>
      </dxf>
    </rfmt>
    <rfmt sheetId="1" sqref="B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2" start="0" length="0">
      <dxf>
        <font>
          <b/>
          <name val="Times New Roman"/>
          <family val="1"/>
        </font>
      </dxf>
    </rfmt>
    <rfmt sheetId="1" sqref="B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3" start="0" length="0">
      <dxf>
        <font>
          <b/>
          <name val="Times New Roman"/>
          <family val="1"/>
        </font>
      </dxf>
    </rfmt>
    <rfmt sheetId="1" sqref="B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24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5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6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7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cc rId="4828" sId="1">
    <oc r="D200" t="inlineStr">
      <is>
        <t>04201 L5110</t>
      </is>
    </oc>
    <nc r="D200" t="inlineStr">
      <is>
        <t>04103 S2П90</t>
      </is>
    </nc>
  </rcc>
  <rcc rId="4829" sId="1">
    <oc r="D201" t="inlineStr">
      <is>
        <t>04201 L5110</t>
      </is>
    </oc>
    <nc r="D201" t="inlineStr">
      <is>
        <t>04103 S2П90</t>
      </is>
    </nc>
  </rcc>
  <rcc rId="4830" sId="1" odxf="1" dxf="1">
    <oc r="D202" t="inlineStr">
      <is>
        <t>04201 S2310</t>
      </is>
    </oc>
    <nc r="D202" t="inlineStr">
      <is>
        <t>04103 S2310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1" sId="1">
    <oc r="D203" t="inlineStr">
      <is>
        <t>04201 S2310</t>
      </is>
    </oc>
    <nc r="D203" t="inlineStr">
      <is>
        <t>04103 S2310</t>
      </is>
    </nc>
  </rcc>
  <rcc rId="4832" sId="1" odxf="1" dxf="1">
    <nc r="A19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3" sId="1" odxf="1" dxf="1">
    <nc r="A19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4" sId="1" odxf="1" dxf="1">
    <nc r="B19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5" sId="1" odxf="1" dxf="1">
    <nc r="C198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6" sId="1" odxf="1" dxf="1">
    <nc r="D198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8" start="0" length="0">
    <dxf>
      <font>
        <i/>
        <name val="Times New Roman"/>
        <family val="1"/>
      </font>
    </dxf>
  </rfmt>
  <rcc rId="4837" sId="1" odxf="1" dxf="1">
    <nc r="F198">
      <f>F199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8" sId="1" odxf="1" dxf="1">
    <nc r="B199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39" sId="1" odxf="1" dxf="1">
    <nc r="C199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40" sId="1" odxf="1" dxf="1">
    <nc r="D199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9" start="0" length="0">
    <dxf>
      <font>
        <b val="0"/>
        <i/>
        <name val="Times New Roman"/>
        <family val="1"/>
      </font>
    </dxf>
  </rfmt>
  <rcc rId="4841" sId="1" odxf="1" dxf="1">
    <nc r="F199">
      <f>F200+F202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42" sId="1">
    <oc r="F204">
      <f>F205+F202+F200</f>
    </oc>
    <nc r="F204">
      <f>F205</f>
    </nc>
  </rcc>
  <rrc rId="4843" sId="1" ref="A204:XFD204" action="insertRow"/>
  <rm rId="4844" sheetId="1" source="A197:XFD197" destination="A204:XFD204" sourceSheetId="1">
    <rfmt sheetId="1" xfDxf="1" sqref="A204:XFD204" start="0" length="0">
      <dxf>
        <font>
          <name val="Times New Roman CYR"/>
          <family val="1"/>
        </font>
        <alignment wrapText="1"/>
      </dxf>
    </rfmt>
    <rfmt sheetId="1" sqref="A20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45" sId="1" ref="A197:XFD197" action="deleteRow">
    <rfmt sheetId="1" xfDxf="1" sqref="A197:XFD197" start="0" length="0">
      <dxf>
        <font>
          <name val="Times New Roman CYR"/>
          <family val="1"/>
        </font>
        <alignment wrapText="1"/>
      </dxf>
    </rfmt>
  </rrc>
  <rcc rId="4846" sId="1">
    <oc r="F196">
      <f>F203</f>
    </oc>
    <nc r="F196">
      <f>F197+F203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функцион.структура!$A$1:$F$519</formula>
    <oldFormula>функцион.структура!$A$1:$F$519</oldFormula>
  </rdn>
  <rdn rId="0" localSheetId="1" customView="1" name="Z_629918FE_B1DF_464A_BF50_03D18729BC02_.wvu.FilterData" hidden="1" oldHidden="1">
    <formula>функцион.структура!$A$13:$F$526</formula>
    <oldFormula>функцион.структура!$A$13:$F$526</oldFormula>
  </rdn>
  <rcv guid="{629918FE-B1DF-464A-BF50-03D18729BC02}" action="add"/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9">
    <dxf>
      <fill>
        <patternFill patternType="solid">
          <bgColor rgb="FF92D05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0" sId="1" odxf="1" dxf="1">
    <nc r="H426">
      <f>369.1+F415+F407+F413+F404+F399++F389+F384+F382+F378+F374</f>
    </nc>
    <odxf>
      <numFmt numFmtId="0" formatCode="General"/>
    </odxf>
    <ndxf>
      <numFmt numFmtId="165" formatCode="0.00000"/>
    </ndxf>
  </rcc>
  <rcc rId="891" sId="1" odxf="1" dxf="1">
    <nc r="H471">
      <f>F322+F326+F463+F466+F470+F475+F483</f>
    </nc>
    <odxf>
      <numFmt numFmtId="0" formatCode="General"/>
    </odxf>
    <ndxf>
      <numFmt numFmtId="165" formatCode="0.00000"/>
    </ndxf>
  </rcc>
  <rfmt sheetId="1" sqref="F482">
    <dxf>
      <fill>
        <patternFill>
          <bgColor theme="0"/>
        </patternFill>
      </fill>
    </dxf>
  </rfmt>
  <rcc rId="892" sId="1" numFmtId="4">
    <oc r="F480">
      <v>24589.9</v>
    </oc>
    <nc r="F480">
      <f>24589.9+182.4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9" sId="1">
    <oc r="F481">
      <f>7486+556.2</f>
    </oc>
    <nc r="F481">
      <f>7336.3+149.68+556.2</f>
    </nc>
  </rcc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0" sId="1">
    <oc r="F437">
      <f>6766+138.1+86.30068</f>
    </oc>
    <nc r="F437">
      <f>6766+138.05306+86.30068</f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1" sId="1" odxf="1" dxf="1" numFmtId="4">
    <oc r="F343">
      <v>5578</v>
    </oc>
    <nc r="F343">
      <v>5577.96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852" sId="1" numFmtId="4">
    <oc r="F166">
      <v>46.62</v>
    </oc>
    <nc r="F166">
      <v>46.625</v>
    </nc>
  </rcc>
  <rcc rId="4853" sId="1" numFmtId="4">
    <oc r="F169">
      <v>4047.7</v>
    </oc>
    <nc r="F169">
      <v>4047.7460000000001</v>
    </nc>
  </rcc>
  <rcc rId="4854" sId="1">
    <oc r="F184">
      <f>15894.1+836.5327</f>
    </oc>
    <nc r="F184">
      <f>15894.1213+836.5327</f>
    </nc>
  </rcc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5" sId="1">
    <oc r="F231">
      <f>50104.8+1022.5</f>
    </oc>
    <nc r="F231">
      <f>50104.8+1022.52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6" sId="1">
    <oc r="F240">
      <f>14836.2+302.8+15.1</f>
    </oc>
    <nc r="F240">
      <f>14836.15464+302.77866+15.1</f>
    </nc>
  </rcc>
  <rfmt sheetId="1" sqref="E409">
    <dxf>
      <fill>
        <patternFill>
          <bgColor theme="0"/>
        </patternFill>
      </fill>
    </dxf>
  </rfmt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7" sId="1">
    <oc r="F320">
      <f>38171.1+779+44045.8+899+195.7+327.8</f>
    </oc>
    <nc r="F320">
      <f>38171.1+779+44045.8+898.93+195.7+327.8</f>
    </nc>
  </rcc>
  <rcc rId="4858" sId="1" numFmtId="4">
    <oc r="F318">
      <v>20278</v>
    </oc>
    <nc r="F318">
      <v>20278.02</v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9" sId="1">
    <oc r="F408">
      <f>56433.1+1151.7+300.2</f>
    </oc>
    <nc r="F408">
      <f>56433.1+1151.67+300.2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60" sId="1" ref="A241:XFD241" action="insertRow"/>
  <rcc rId="4861" sId="1">
    <nc r="B241" t="inlineStr">
      <is>
        <t>05</t>
      </is>
    </nc>
  </rcc>
  <rcc rId="4862" sId="1">
    <nc r="C241" t="inlineStr">
      <is>
        <t>03</t>
      </is>
    </nc>
  </rcc>
  <rcc rId="4863" sId="1">
    <nc r="D241" t="inlineStr">
      <is>
        <t>160F2 55550</t>
      </is>
    </nc>
  </rcc>
  <rcc rId="4864" sId="1">
    <nc r="E241" t="inlineStr">
      <is>
        <t>622</t>
      </is>
    </nc>
  </rcc>
  <rcc rId="4865" sId="1">
    <nc r="F241">
      <f>11928.51796+237.65143+12.16387</f>
    </nc>
  </rcc>
  <rcc rId="4866" sId="1">
    <oc r="F239">
      <f>F240</f>
    </oc>
    <nc r="F239">
      <f>SUM(F240:F241)</f>
    </nc>
  </rcc>
  <rcc rId="4867" sId="1" odxf="1" dxf="1">
    <nc r="A24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68" sId="1" numFmtId="4">
    <nc r="F530">
      <v>1881448.40439</v>
    </nc>
  </rcc>
  <rcc rId="4869" sId="1">
    <oc r="F532">
      <f>F520-F524</f>
    </oc>
    <nc r="F532">
      <f>F520-F530</f>
    </nc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0" sId="1">
    <oc r="F450">
      <f>1441.3+511+466.6</f>
    </oc>
    <nc r="F450">
      <f>1441.29387+511+466.6</f>
    </nc>
  </rcc>
  <rcc rId="4871" sId="1">
    <oc r="F443">
      <f>2000+60+233.1</f>
    </oc>
    <nc r="F443">
      <f>2000+60+233.13</f>
    </nc>
  </rcc>
  <rcc rId="4872" sId="1">
    <oc r="G442">
      <v>2602.1999999999998</v>
    </oc>
    <nc r="G442">
      <v>2602.23</v>
    </nc>
  </rcc>
  <rcc rId="4873" sId="1">
    <oc r="G450">
      <v>1952.3</v>
    </oc>
    <nc r="G450">
      <v>1952.29387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82 F471">
    <dxf>
      <fill>
        <patternFill>
          <bgColor theme="0"/>
        </patternFill>
      </fill>
    </dxf>
  </rfmt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4" sId="1" odxf="1" dxf="1">
    <oc r="F261">
      <f>23099+20000-242.01475-100</f>
    </oc>
    <nc r="F261">
      <f>23099+20000-100-257.7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75" sId="1">
    <oc r="F240">
      <f>14836.15464+302.77866+15.1</f>
    </oc>
    <nc r="F240">
      <f>14836.15464+302.77866+15.13893</f>
    </nc>
  </rcc>
  <rcc rId="4876" sId="1" numFmtId="4">
    <oc r="F275">
      <v>51536.4</v>
    </oc>
    <nc r="F275">
      <f>51536.4-255.2</f>
    </nc>
  </rcc>
  <rcc rId="4877" sId="1">
    <oc r="F311">
      <f>10159.152+12015.5</f>
    </oc>
    <nc r="F311">
      <f>10159.152+11177.7</f>
    </nc>
  </rcc>
  <rcc rId="4878" sId="1">
    <oc r="F312">
      <f>32170.648+27897.7</f>
    </oc>
    <nc r="F312">
      <f>32170.648+27897.7</f>
    </nc>
  </rcc>
  <rcc rId="4879" sId="1">
    <oc r="F279">
      <f>109531.5+10620.1</f>
    </oc>
    <nc r="F279">
      <f>109531.5+10620.1+837.8</f>
    </nc>
  </rcc>
  <rcc rId="4880" sId="1">
    <oc r="F231">
      <f>50104.8+1022.52</f>
    </oc>
    <nc r="F231">
      <f>50104.8+1022.52+257.7</f>
    </nc>
  </rcc>
  <rcc rId="4881" sId="1" numFmtId="4">
    <oc r="F55">
      <v>5263</v>
    </oc>
    <nc r="F55">
      <f>5263+0.44632</f>
    </nc>
  </rcc>
  <rcc rId="4882" sId="1" numFmtId="4">
    <oc r="F92">
      <v>19.2</v>
    </oc>
    <nc r="F92">
      <v>32</v>
    </nc>
  </rcc>
  <rcc rId="4883" sId="1" numFmtId="4">
    <oc r="F530">
      <v>1881448.40439</v>
    </oc>
    <nc r="F530">
      <v>1881446.32439</v>
    </nc>
  </rcc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4" sId="1">
    <oc r="F261">
      <f>23099+20000-100-257.7</f>
    </oc>
    <nc r="F261">
      <f>23099+15000</f>
    </nc>
  </rcc>
  <rcc rId="4885" sId="1">
    <oc r="F279">
      <f>109531.5+10620.1+837.8</f>
    </oc>
    <nc r="F279">
      <f>109531.5+10620.1+837.8+3492.3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6" sId="1" numFmtId="4">
    <oc r="F499">
      <v>1877.4</v>
    </oc>
    <nc r="F499">
      <f>1877.4+517.3</f>
    </nc>
  </rcc>
  <rcc rId="4887" sId="1" numFmtId="4">
    <oc r="F500">
      <v>567</v>
    </oc>
    <nc r="F500">
      <f>567+156.2</f>
    </nc>
  </rcc>
  <rcc rId="4888" sId="1">
    <oc r="F478">
      <f>676.8+1954.4+517.3</f>
    </oc>
    <nc r="F478">
      <f>676.8+1954.4</f>
    </nc>
  </rcc>
  <rcc rId="4889" sId="1">
    <oc r="F479">
      <f>204.4+590.2+156.2</f>
    </oc>
    <nc r="F479">
      <f>204.4+590.2</f>
    </nc>
  </rcc>
  <rcc rId="4890" sId="1" numFmtId="4">
    <oc r="F488">
      <v>25141.9</v>
    </oc>
    <nc r="F488">
      <f>25141.9+1150</f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2" sId="1" numFmtId="4">
    <oc r="F194">
      <f>15795.13-590</f>
    </oc>
    <nc r="F194">
      <v>15795.13</v>
    </nc>
  </rcc>
  <rcc rId="4893" sId="1" numFmtId="4">
    <oc r="F193">
      <v>590</v>
    </oc>
    <nc r="F193"/>
  </rcc>
  <rrc rId="4894" sId="1" ref="A193:XFD193" action="deleteRow">
    <undo index="65535" exp="area" dr="F193:F194" r="F192" sId="1"/>
    <rfmt sheetId="1" xfDxf="1" sqref="A193:XFD193" start="0" length="0">
      <dxf>
        <font>
          <b/>
          <i/>
          <name val="Times New Roman CYR"/>
          <family val="1"/>
        </font>
        <alignment wrapText="1"/>
      </dxf>
    </rfmt>
    <rcc rId="0" sId="1" dxf="1">
      <nc r="A19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895" sId="1">
    <oc r="E189" t="inlineStr">
      <is>
        <t>244</t>
      </is>
    </oc>
    <nc r="E189" t="inlineStr">
      <is>
        <t>414</t>
      </is>
    </nc>
  </rcc>
  <rcc rId="4896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7" sId="1" numFmtId="4">
    <oc r="F140">
      <v>4318</v>
    </oc>
    <nc r="F140">
      <v>4575.7</v>
    </nc>
  </rcc>
  <rrc rId="4898" sId="1" ref="A188:XFD189" action="insertRow"/>
  <rm rId="4899" sheetId="1" source="A194:XFD195" destination="A188:XFD189" sourceSheetId="1">
    <rfmt sheetId="1" xfDxf="1" sqref="A188:XFD188" start="0" length="0">
      <dxf>
        <font>
          <name val="Times New Roman CYR"/>
          <family val="1"/>
        </font>
        <alignment wrapText="1"/>
      </dxf>
    </rfmt>
    <rfmt sheetId="1" xfDxf="1" sqref="A189:XFD189" start="0" length="0">
      <dxf>
        <font>
          <name val="Times New Roman CYR"/>
          <family val="1"/>
        </font>
        <alignment wrapText="1"/>
      </dxf>
    </rfmt>
    <rfmt sheetId="1" sqref="A18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9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0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</rrc>
  <rrc rId="4901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</rrc>
  <rfmt sheetId="1" sqref="A200" start="0" length="2147483647">
    <dxf>
      <font>
        <i/>
      </font>
    </dxf>
  </rfmt>
  <rfmt sheetId="1" sqref="F200" start="0" length="2147483647">
    <dxf>
      <font>
        <i/>
      </font>
    </dxf>
  </rfmt>
  <rrc rId="4902" sId="1" ref="A198:XFD199" action="insertRow"/>
  <rm rId="4903" sheetId="1" source="A202:XFD203" destination="A198:XFD199" sourceSheetId="1">
    <rfmt sheetId="1" xfDxf="1" sqref="A198:XFD198" start="0" length="0">
      <dxf>
        <font>
          <name val="Times New Roman CYR"/>
          <family val="1"/>
        </font>
        <alignment wrapText="1"/>
      </dxf>
    </rfmt>
    <rfmt sheetId="1" xfDxf="1" sqref="A199:XFD199" start="0" length="0">
      <dxf>
        <font>
          <name val="Times New Roman CYR"/>
          <family val="1"/>
        </font>
        <alignment wrapText="1"/>
      </dxf>
    </rfmt>
    <rfmt sheetId="1" sqref="A198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9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4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</rrc>
  <rrc rId="4905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</rrc>
  <rcc rId="4906" sId="1" numFmtId="4">
    <oc r="F232">
      <v>13510</v>
    </oc>
    <nc r="F232">
      <v>13510.0304</v>
    </nc>
  </rcc>
  <rrc rId="4907" sId="1" ref="A233:XFD234" action="insertRow"/>
  <rm rId="4908" sheetId="1" source="A229:XFD230" destination="A233:XFD234" sourceSheetId="1"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xfDxf="1" sqref="A234:XFD234" start="0" length="0">
      <dxf>
        <font>
          <i/>
          <name val="Times New Roman CYR"/>
          <family val="1"/>
        </font>
        <alignment wrapText="1"/>
      </dxf>
    </rfmt>
    <rfmt sheetId="1" sqref="A233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4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9" sId="1" ref="A229:XFD229" action="deleteRow">
    <rfmt sheetId="1" xfDxf="1" sqref="A229:XFD229" start="0" length="0">
      <dxf>
        <font>
          <name val="Times New Roman CYR"/>
          <family val="1"/>
        </font>
        <alignment wrapText="1"/>
      </dxf>
    </rfmt>
  </rrc>
  <rrc rId="4910" sId="1" ref="A229:XFD229" action="deleteRow">
    <rfmt sheetId="1" xfDxf="1" sqref="A229:XFD229" start="0" length="0">
      <dxf>
        <font>
          <name val="Times New Roman CYR"/>
          <family val="1"/>
        </font>
        <alignment wrapText="1"/>
      </dxf>
    </rfmt>
  </rrc>
  <rcc rId="4911" sId="1">
    <oc r="F232">
      <f>50104.8+1022.52+257.7</f>
    </oc>
    <nc r="F232">
      <f>50104.8+1022.52</f>
    </nc>
  </rcc>
  <rrc rId="4912" sId="1" ref="A295:XFD296" action="insertRow"/>
  <rm rId="4913" sheetId="1" source="A289:XFD290" destination="A295:XFD296" sourceSheetId="1">
    <rfmt sheetId="1" xfDxf="1" sqref="A295:XFD295" start="0" length="0">
      <dxf>
        <font>
          <i/>
          <name val="Times New Roman CYR"/>
          <family val="1"/>
        </font>
        <alignment wrapText="1"/>
      </dxf>
    </rfmt>
    <rfmt sheetId="1" xfDxf="1" sqref="A296:XFD296" start="0" length="0">
      <dxf>
        <font>
          <i/>
          <name val="Times New Roman CYR"/>
          <family val="1"/>
        </font>
        <alignment wrapText="1"/>
      </dxf>
    </rfmt>
    <rfmt sheetId="1" sqref="A29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14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</rrc>
  <rrc rId="4915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</rrc>
  <rcc rId="4916" sId="1">
    <oc r="F481">
      <f>7336.3+149.68+556.2</f>
    </oc>
    <nc r="F481">
      <f>7336.3+149.68+556.2+103341</f>
    </nc>
  </rcc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32" sId="1" numFmtId="4">
    <oc r="F71">
      <v>500</v>
    </oc>
    <nc r="F71">
      <v>480</v>
    </nc>
  </rcc>
  <rcc rId="4933" sId="1" numFmtId="4">
    <oc r="F118">
      <v>500</v>
    </oc>
    <nc r="F118">
      <v>4000</v>
    </nc>
  </rcc>
  <rcc rId="4934" sId="1" numFmtId="4">
    <oc r="F120">
      <v>403</v>
    </oc>
    <nc r="F120">
      <v>390.6</v>
    </nc>
  </rcc>
  <rcc rId="4935" sId="1" numFmtId="4">
    <oc r="F121">
      <v>121.8</v>
    </oc>
    <nc r="F121">
      <v>118</v>
    </nc>
  </rcc>
  <rcc rId="4936" sId="1" numFmtId="4">
    <oc r="F122">
      <v>30</v>
    </oc>
    <nc r="F122">
      <v>46.2</v>
    </nc>
  </rcc>
  <rcc rId="4937" sId="1" numFmtId="4">
    <oc r="F127">
      <f>25+10</f>
    </oc>
    <nc r="F127">
      <v>41</v>
    </nc>
  </rcc>
  <rcc rId="4938" sId="1" numFmtId="4">
    <oc r="F128">
      <f>2.4+50+50</f>
    </oc>
    <nc r="F128">
      <v>96.4</v>
    </nc>
  </rcc>
  <rcc rId="4939" sId="1" numFmtId="4">
    <oc r="F135">
      <v>196.8</v>
    </oc>
    <nc r="F135">
      <v>7694.5320099999999</v>
    </nc>
  </rcc>
  <rcc rId="4940" sId="1" numFmtId="4">
    <oc r="F142">
      <v>4155</v>
    </oc>
    <nc r="F142">
      <v>4154.6875</v>
    </nc>
  </rcc>
  <rcc rId="4941" sId="1" numFmtId="4">
    <oc r="F143">
      <v>845.5</v>
    </oc>
    <nc r="F143">
      <v>871.5</v>
    </nc>
  </rcc>
  <rcc rId="4942" sId="1" numFmtId="4">
    <oc r="F144">
      <v>4575.7</v>
    </oc>
    <nc r="F144">
      <v>4589.79</v>
    </nc>
  </rcc>
  <rrc rId="4943" sId="1" ref="A147:XFD147" action="insertRow"/>
  <rcc rId="4944" sId="1">
    <nc r="B147" t="inlineStr">
      <is>
        <t>01</t>
      </is>
    </nc>
  </rcc>
  <rcc rId="4945" sId="1">
    <nc r="C147" t="inlineStr">
      <is>
        <t>13</t>
      </is>
    </nc>
  </rcc>
  <rcc rId="4946" sId="1">
    <nc r="D147" t="inlineStr">
      <is>
        <t>99900 83590</t>
      </is>
    </nc>
  </rcc>
  <rcc rId="4947" sId="1">
    <nc r="E147" t="inlineStr">
      <is>
        <t>853</t>
      </is>
    </nc>
  </rcc>
  <rcc rId="4948" sId="1" numFmtId="4">
    <nc r="F147">
      <v>0.3125</v>
    </nc>
  </rcc>
  <rcc rId="4949" sId="1">
    <oc r="F139">
      <f>SUM(F140:F146)</f>
    </oc>
    <nc r="F139">
      <f>SUM(F140:F147)</f>
    </nc>
  </rcc>
  <rcc rId="4950" sId="1" odxf="1" dxf="1">
    <nc r="A147" t="inlineStr">
      <is>
        <t>Уплата иных платежей</t>
      </is>
    </nc>
    <ndxf>
      <border outline="0">
        <left/>
      </border>
    </ndxf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51" sId="1" ref="A148:XFD148" action="insertRow"/>
  <rrc rId="4952" sId="1" ref="A148:XFD148" action="insertRow"/>
  <rcc rId="4953" sId="1" odxf="1" dxf="1">
    <nc r="A148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954" sId="1" odxf="1" dxf="1">
    <nc r="B1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5" sId="1" odxf="1" dxf="1">
    <nc r="C1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6" sId="1" odxf="1" dxf="1">
    <nc r="D148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4957" sId="1" odxf="1" dxf="1">
    <nc r="F148">
      <f>F149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958" sId="1" odxf="1" dxf="1">
    <nc r="A149" t="inlineStr">
      <is>
        <t>Иные выплаты населению</t>
      </is>
    </nc>
    <odxf>
      <fill>
        <patternFill patternType="solid"/>
      </fill>
      <border outline="0">
        <left/>
      </border>
    </odxf>
    <ndxf>
      <fill>
        <patternFill patternType="none"/>
      </fill>
      <border outline="0">
        <left style="thin">
          <color indexed="64"/>
        </left>
      </border>
    </ndxf>
  </rcc>
  <rcc rId="4959" sId="1">
    <nc r="B149" t="inlineStr">
      <is>
        <t>01</t>
      </is>
    </nc>
  </rcc>
  <rcc rId="4960" sId="1">
    <nc r="C149" t="inlineStr">
      <is>
        <t>13</t>
      </is>
    </nc>
  </rcc>
  <rcc rId="4961" sId="1">
    <nc r="D149" t="inlineStr">
      <is>
        <t>99900 86000</t>
      </is>
    </nc>
  </rcc>
  <rcc rId="4962" sId="1">
    <nc r="E149" t="inlineStr">
      <is>
        <t>360</t>
      </is>
    </nc>
  </rcc>
  <rfmt sheetId="1" sqref="F149" start="0" length="0">
    <dxf>
      <fill>
        <patternFill patternType="solid">
          <bgColor theme="0"/>
        </patternFill>
      </fill>
    </dxf>
  </rfmt>
  <rcc rId="4963" sId="1" numFmtId="4">
    <nc r="F149">
      <v>20</v>
    </nc>
  </rcc>
  <rcc rId="4964" sId="1">
    <oc r="F113">
      <f>F114+F119+F124+F129+F136+F138+F150+F117+F134</f>
    </oc>
    <nc r="F113">
      <f>F114+F119+F124+F129+F136+F138+F150+F117+F134+F148</f>
    </nc>
  </rcc>
  <rrc rId="4965" sId="1" ref="A157:XFD157" action="insertRow"/>
  <rcc rId="4966" sId="1" odxf="1" dxf="1">
    <nc r="A157" t="inlineStr">
      <is>
        <t>Закупка товаров, работ и услуг в сфере информационно-коммуникационных технологий</t>
      </is>
    </nc>
    <odxf>
      <font>
        <i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967" sId="1" odxf="1" dxf="1">
    <nc r="B15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68" sId="1" odxf="1" dxf="1">
    <nc r="C157" t="inlineStr">
      <is>
        <t>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69" sId="1" odxf="1" dxf="1">
    <nc r="D157" t="inlineStr">
      <is>
        <t>18002 82300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70" sId="1" odxf="1" dxf="1">
    <nc r="E157" t="inlineStr">
      <is>
        <t>242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57" start="0" length="0">
    <dxf>
      <font>
        <i val="0"/>
        <name val="Times New Roman"/>
        <family val="1"/>
      </font>
    </dxf>
  </rfmt>
  <rcc rId="4971" sId="1" numFmtId="4">
    <nc r="F157">
      <v>16</v>
    </nc>
  </rcc>
  <rcc rId="4972" sId="1" numFmtId="4">
    <oc r="F158">
      <v>1500</v>
    </oc>
    <nc r="F158">
      <v>2484</v>
    </nc>
  </rcc>
  <rcc rId="4973" sId="1">
    <oc r="F156">
      <f>F158</f>
    </oc>
    <nc r="F156">
      <f>SUM(F157:F158)</f>
    </nc>
  </rcc>
  <rcc rId="4974" sId="1" numFmtId="4">
    <oc r="F197">
      <v>15795.13</v>
    </oc>
    <nc r="F197">
      <v>4678.8845199999996</v>
    </nc>
  </rcc>
  <rrc rId="4975" sId="1" ref="A198:XFD198" action="insertRow"/>
  <rrc rId="4976" sId="1" ref="A198:XFD198" action="insertRow"/>
  <rcc rId="4977" sId="1">
    <nc r="A198" t="inlineStr">
      <is>
        <t>Прочие закупки товаров, работ и услуг для государственных (муниципальных) нужд</t>
      </is>
    </nc>
  </rcc>
  <rcc rId="4978" sId="1">
    <nc r="B198" t="inlineStr">
      <is>
        <t>04</t>
      </is>
    </nc>
  </rcc>
  <rcc rId="4979" sId="1">
    <nc r="C198" t="inlineStr">
      <is>
        <t>09</t>
      </is>
    </nc>
  </rcc>
  <rcc rId="4980" sId="1">
    <nc r="D198" t="inlineStr">
      <is>
        <t>11001 82200</t>
      </is>
    </nc>
  </rcc>
  <rcc rId="4981" sId="1">
    <nc r="A199" t="inlineStr">
      <is>
        <t>Прочие закупки товаров, работ и услуг для государственных (муниципальных) нужд</t>
      </is>
    </nc>
  </rcc>
  <rcc rId="4982" sId="1">
    <nc r="B199" t="inlineStr">
      <is>
        <t>04</t>
      </is>
    </nc>
  </rcc>
  <rcc rId="4983" sId="1">
    <nc r="C199" t="inlineStr">
      <is>
        <t>09</t>
      </is>
    </nc>
  </rcc>
  <rcc rId="4984" sId="1">
    <nc r="D199" t="inlineStr">
      <is>
        <t>11001 82200</t>
      </is>
    </nc>
  </rcc>
  <rcc rId="4985" sId="1">
    <nc r="E198" t="inlineStr">
      <is>
        <t>247</t>
      </is>
    </nc>
  </rcc>
  <rcc rId="4986" sId="1">
    <nc r="E199" t="inlineStr">
      <is>
        <t>540</t>
      </is>
    </nc>
  </rcc>
  <rcc rId="4987" sId="1" numFmtId="4">
    <nc r="F198">
      <v>25.855550000000001</v>
    </nc>
  </rcc>
  <rcc rId="4988" sId="1" numFmtId="4">
    <nc r="F199">
      <v>12425.109399999999</v>
    </nc>
  </rcc>
  <rcc rId="4989" sId="1">
    <oc r="F196">
      <f>SUM(F197:F197)</f>
    </oc>
    <nc r="F196">
      <f>SUM(F197:F199)</f>
    </nc>
  </rcc>
  <rcc rId="4990" sId="1" numFmtId="4">
    <oc r="F211">
      <f>367.6386+19.4</f>
    </oc>
    <nc r="F211">
      <v>386.988</v>
    </nc>
  </rcc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1" sId="1" numFmtId="4">
    <oc r="F135">
      <v>7694.5320099999999</v>
    </oc>
    <nc r="F135">
      <v>6994.5320099999999</v>
    </nc>
  </rcc>
  <rcc rId="4992" sId="1" numFmtId="4">
    <oc r="F144">
      <v>4589.79</v>
    </oc>
    <nc r="F144">
      <v>5289.79</v>
    </nc>
  </rcc>
  <rcc rId="4993" sId="1">
    <oc r="D164" t="inlineStr">
      <is>
        <t>06007 82900</t>
      </is>
    </oc>
    <nc r="D164" t="inlineStr">
      <is>
        <t>06010 82900</t>
      </is>
    </nc>
  </rcc>
  <rcc rId="4994" sId="1">
    <oc r="D163" t="inlineStr">
      <is>
        <t>06007 82900</t>
      </is>
    </oc>
    <nc r="D163" t="inlineStr">
      <is>
        <t>06010 82900</t>
      </is>
    </nc>
  </rcc>
  <rcc rId="4995" sId="1">
    <oc r="D162" t="inlineStr">
      <is>
        <t>06007 00000</t>
      </is>
    </oc>
    <nc r="D162" t="inlineStr">
      <is>
        <t>06010 00000</t>
      </is>
    </nc>
  </rcc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96" sId="1" ref="A234:XFD237" action="insertRow"/>
  <rcc rId="4997" sId="1" odxf="1" dxf="1">
    <nc r="A23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  <border outline="0">
        <left/>
        <right/>
        <top/>
        <bottom/>
      </border>
    </odxf>
    <ndxf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998" sId="1" odxf="1" dxf="1">
    <nc r="B234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999" sId="1" odxf="1" dxf="1">
    <nc r="C234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00" sId="1" odxf="1" dxf="1">
    <nc r="D23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34" start="0" length="0">
    <dxf>
      <fill>
        <patternFill patternType="none">
          <bgColor indexed="65"/>
        </patternFill>
      </fill>
    </dxf>
  </rfmt>
  <rcc rId="5001" sId="1" odxf="1" dxf="1">
    <nc r="F234">
      <f>F235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234" start="0" length="0">
    <dxf>
      <font>
        <i/>
        <name val="Times New Roman CYR"/>
        <family val="1"/>
      </font>
    </dxf>
  </rfmt>
  <rfmt sheetId="1" sqref="H234" start="0" length="0">
    <dxf>
      <font>
        <i/>
        <name val="Times New Roman CYR"/>
        <family val="1"/>
      </font>
    </dxf>
  </rfmt>
  <rfmt sheetId="1" sqref="I234" start="0" length="0">
    <dxf>
      <font>
        <i/>
        <name val="Times New Roman CYR"/>
        <family val="1"/>
      </font>
    </dxf>
  </rfmt>
  <rfmt sheetId="1" sqref="J234" start="0" length="0">
    <dxf>
      <font>
        <i/>
        <name val="Times New Roman CYR"/>
        <family val="1"/>
      </font>
    </dxf>
  </rfmt>
  <rfmt sheetId="1" sqref="K234" start="0" length="0">
    <dxf>
      <font>
        <i/>
        <name val="Times New Roman CYR"/>
        <family val="1"/>
      </font>
    </dxf>
  </rfmt>
  <rfmt sheetId="1" sqref="L234" start="0" length="0">
    <dxf>
      <font>
        <i/>
        <name val="Times New Roman CYR"/>
        <family val="1"/>
      </font>
    </dxf>
  </rfmt>
  <rfmt sheetId="1" sqref="M234" start="0" length="0">
    <dxf>
      <font>
        <i/>
        <name val="Times New Roman CYR"/>
        <family val="1"/>
      </font>
    </dxf>
  </rfmt>
  <rfmt sheetId="1" sqref="N234" start="0" length="0">
    <dxf>
      <font>
        <i/>
        <name val="Times New Roman CYR"/>
        <family val="1"/>
      </font>
    </dxf>
  </rfmt>
  <rfmt sheetId="1" sqref="O234" start="0" length="0">
    <dxf>
      <font>
        <i/>
        <name val="Times New Roman CYR"/>
        <family val="1"/>
      </font>
    </dxf>
  </rfmt>
  <rfmt sheetId="1" sqref="P234" start="0" length="0">
    <dxf>
      <font>
        <i/>
        <name val="Times New Roman CYR"/>
        <family val="1"/>
      </font>
    </dxf>
  </rfmt>
  <rfmt sheetId="1" sqref="Q234" start="0" length="0">
    <dxf>
      <font>
        <i/>
        <name val="Times New Roman CYR"/>
        <family val="1"/>
      </font>
    </dxf>
  </rfmt>
  <rfmt sheetId="1" sqref="A234:XFD234" start="0" length="0">
    <dxf>
      <font>
        <i/>
        <name val="Times New Roman CYR"/>
        <family val="1"/>
      </font>
    </dxf>
  </rfmt>
  <rfmt sheetId="1" sqref="A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02" sId="1" odxf="1" dxf="1">
    <nc r="B23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03" sId="1" odxf="1" dxf="1">
    <nc r="C235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04" sId="1" odxf="1" dxf="1">
    <nc r="F235">
      <f>F236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35" start="0" length="0">
    <dxf>
      <font>
        <i/>
        <name val="Times New Roman CYR"/>
        <family val="1"/>
      </font>
    </dxf>
  </rfmt>
  <rfmt sheetId="1" sqref="H235" start="0" length="0">
    <dxf>
      <font>
        <i/>
        <name val="Times New Roman CYR"/>
        <family val="1"/>
      </font>
    </dxf>
  </rfmt>
  <rfmt sheetId="1" sqref="I235" start="0" length="0">
    <dxf>
      <font>
        <i/>
        <name val="Times New Roman CYR"/>
        <family val="1"/>
      </font>
    </dxf>
  </rfmt>
  <rfmt sheetId="1" sqref="J235" start="0" length="0">
    <dxf>
      <font>
        <i/>
        <name val="Times New Roman CYR"/>
        <family val="1"/>
      </font>
    </dxf>
  </rfmt>
  <rfmt sheetId="1" sqref="K235" start="0" length="0">
    <dxf>
      <font>
        <i/>
        <name val="Times New Roman CYR"/>
        <family val="1"/>
      </font>
    </dxf>
  </rfmt>
  <rfmt sheetId="1" sqref="L235" start="0" length="0">
    <dxf>
      <font>
        <i/>
        <name val="Times New Roman CYR"/>
        <family val="1"/>
      </font>
    </dxf>
  </rfmt>
  <rfmt sheetId="1" sqref="M235" start="0" length="0">
    <dxf>
      <font>
        <i/>
        <name val="Times New Roman CYR"/>
        <family val="1"/>
      </font>
    </dxf>
  </rfmt>
  <rfmt sheetId="1" sqref="N235" start="0" length="0">
    <dxf>
      <font>
        <i/>
        <name val="Times New Roman CYR"/>
        <family val="1"/>
      </font>
    </dxf>
  </rfmt>
  <rfmt sheetId="1" sqref="O235" start="0" length="0">
    <dxf>
      <font>
        <i/>
        <name val="Times New Roman CYR"/>
        <family val="1"/>
      </font>
    </dxf>
  </rfmt>
  <rfmt sheetId="1" sqref="P235" start="0" length="0">
    <dxf>
      <font>
        <i/>
        <name val="Times New Roman CYR"/>
        <family val="1"/>
      </font>
    </dxf>
  </rfmt>
  <rfmt sheetId="1" sqref="Q235" start="0" length="0">
    <dxf>
      <font>
        <i/>
        <name val="Times New Roman CYR"/>
        <family val="1"/>
      </font>
    </dxf>
  </rfmt>
  <rfmt sheetId="1" sqref="A235:XFD235" start="0" length="0">
    <dxf>
      <font>
        <i/>
        <name val="Times New Roman CYR"/>
        <family val="1"/>
      </font>
    </dxf>
  </rfmt>
  <rfmt sheetId="1" sqref="A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05" sId="1" odxf="1" dxf="1">
    <nc r="B236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06" sId="1" odxf="1" dxf="1">
    <nc r="C236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07" sId="1" odxf="1" dxf="1">
    <nc r="F236">
      <f>F237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36" start="0" length="0">
    <dxf>
      <font>
        <i/>
        <name val="Times New Roman CYR"/>
        <family val="1"/>
      </font>
    </dxf>
  </rfmt>
  <rfmt sheetId="1" sqref="H236" start="0" length="0">
    <dxf>
      <font>
        <i/>
        <name val="Times New Roman CYR"/>
        <family val="1"/>
      </font>
    </dxf>
  </rfmt>
  <rfmt sheetId="1" sqref="I236" start="0" length="0">
    <dxf>
      <font>
        <i/>
        <name val="Times New Roman CYR"/>
        <family val="1"/>
      </font>
    </dxf>
  </rfmt>
  <rfmt sheetId="1" sqref="J236" start="0" length="0">
    <dxf>
      <font>
        <i/>
        <name val="Times New Roman CYR"/>
        <family val="1"/>
      </font>
    </dxf>
  </rfmt>
  <rfmt sheetId="1" sqref="K236" start="0" length="0">
    <dxf>
      <font>
        <i/>
        <name val="Times New Roman CYR"/>
        <family val="1"/>
      </font>
    </dxf>
  </rfmt>
  <rfmt sheetId="1" sqref="L236" start="0" length="0">
    <dxf>
      <font>
        <i/>
        <name val="Times New Roman CYR"/>
        <family val="1"/>
      </font>
    </dxf>
  </rfmt>
  <rfmt sheetId="1" sqref="M236" start="0" length="0">
    <dxf>
      <font>
        <i/>
        <name val="Times New Roman CYR"/>
        <family val="1"/>
      </font>
    </dxf>
  </rfmt>
  <rfmt sheetId="1" sqref="N236" start="0" length="0">
    <dxf>
      <font>
        <i/>
        <name val="Times New Roman CYR"/>
        <family val="1"/>
      </font>
    </dxf>
  </rfmt>
  <rfmt sheetId="1" sqref="O236" start="0" length="0">
    <dxf>
      <font>
        <i/>
        <name val="Times New Roman CYR"/>
        <family val="1"/>
      </font>
    </dxf>
  </rfmt>
  <rfmt sheetId="1" sqref="P236" start="0" length="0">
    <dxf>
      <font>
        <i/>
        <name val="Times New Roman CYR"/>
        <family val="1"/>
      </font>
    </dxf>
  </rfmt>
  <rfmt sheetId="1" sqref="Q236" start="0" length="0">
    <dxf>
      <font>
        <i/>
        <name val="Times New Roman CYR"/>
        <family val="1"/>
      </font>
    </dxf>
  </rfmt>
  <rfmt sheetId="1" sqref="A236:XFD236" start="0" length="0">
    <dxf>
      <font>
        <i/>
        <name val="Times New Roman CYR"/>
        <family val="1"/>
      </font>
    </dxf>
  </rfmt>
  <rcc rId="5008" sId="1" odxf="1" dxf="1">
    <nc r="A237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09" sId="1" odxf="1" dxf="1">
    <nc r="B237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10" sId="1" odxf="1" dxf="1">
    <nc r="C237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23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3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11" sId="1" odxf="1" dxf="1" numFmtId="4">
    <nc r="F237">
      <v>100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237" start="0" length="0">
    <dxf>
      <font>
        <i/>
        <name val="Times New Roman CYR"/>
        <family val="1"/>
      </font>
    </dxf>
  </rfmt>
  <rfmt sheetId="1" sqref="H237" start="0" length="0">
    <dxf>
      <font>
        <i/>
        <name val="Times New Roman CYR"/>
        <family val="1"/>
      </font>
    </dxf>
  </rfmt>
  <rfmt sheetId="1" sqref="I237" start="0" length="0">
    <dxf>
      <font>
        <i/>
        <name val="Times New Roman CYR"/>
        <family val="1"/>
      </font>
    </dxf>
  </rfmt>
  <rfmt sheetId="1" sqref="J237" start="0" length="0">
    <dxf>
      <font>
        <i/>
        <name val="Times New Roman CYR"/>
        <family val="1"/>
      </font>
    </dxf>
  </rfmt>
  <rfmt sheetId="1" sqref="K237" start="0" length="0">
    <dxf>
      <font>
        <i/>
        <name val="Times New Roman CYR"/>
        <family val="1"/>
      </font>
    </dxf>
  </rfmt>
  <rfmt sheetId="1" sqref="L237" start="0" length="0">
    <dxf>
      <font>
        <i/>
        <name val="Times New Roman CYR"/>
        <family val="1"/>
      </font>
    </dxf>
  </rfmt>
  <rfmt sheetId="1" sqref="M237" start="0" length="0">
    <dxf>
      <font>
        <i/>
        <name val="Times New Roman CYR"/>
        <family val="1"/>
      </font>
    </dxf>
  </rfmt>
  <rfmt sheetId="1" sqref="N237" start="0" length="0">
    <dxf>
      <font>
        <i/>
        <name val="Times New Roman CYR"/>
        <family val="1"/>
      </font>
    </dxf>
  </rfmt>
  <rfmt sheetId="1" sqref="O237" start="0" length="0">
    <dxf>
      <font>
        <i/>
        <name val="Times New Roman CYR"/>
        <family val="1"/>
      </font>
    </dxf>
  </rfmt>
  <rfmt sheetId="1" sqref="P237" start="0" length="0">
    <dxf>
      <font>
        <i/>
        <name val="Times New Roman CYR"/>
        <family val="1"/>
      </font>
    </dxf>
  </rfmt>
  <rfmt sheetId="1" sqref="Q237" start="0" length="0">
    <dxf>
      <font>
        <i/>
        <name val="Times New Roman CYR"/>
        <family val="1"/>
      </font>
    </dxf>
  </rfmt>
  <rfmt sheetId="1" sqref="A237:XFD237" start="0" length="0">
    <dxf>
      <font>
        <i/>
        <name val="Times New Roman CYR"/>
        <family val="1"/>
      </font>
    </dxf>
  </rfmt>
  <rcc rId="5012" sId="1">
    <nc r="D235" t="inlineStr">
      <is>
        <t>06030 00000</t>
      </is>
    </nc>
  </rcc>
  <rfmt sheetId="1" xfDxf="1" sqref="A235" start="0" length="0">
    <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13" sId="1">
    <nc r="D236" t="inlineStr">
      <is>
        <t>06036 00000</t>
      </is>
    </nc>
  </rcc>
  <rrc rId="5014" sId="1" ref="A237:XFD237" action="insertRow"/>
  <rcc rId="5015" sId="1">
    <nc r="B237" t="inlineStr">
      <is>
        <t>04</t>
      </is>
    </nc>
  </rcc>
  <rcc rId="5016" sId="1">
    <nc r="C237" t="inlineStr">
      <is>
        <t>05</t>
      </is>
    </nc>
  </rcc>
  <rcc rId="5017" sId="1">
    <nc r="F237">
      <f>F239</f>
    </nc>
  </rcc>
  <rcc rId="5018" sId="1" xfDxf="1" dxf="1">
    <nc r="A236" t="inlineStr">
      <is>
        <t>Обеспечение комплексного развития сельских территорий (Капитальный ремонт сетей водоснабжения г.Гусиноозерск)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37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19" sId="1">
    <nc r="D237" t="inlineStr">
      <is>
        <t>06036 L5760</t>
      </is>
    </nc>
  </rcc>
  <rcc rId="5020" sId="1" xfDxf="1" dxf="1">
    <nc r="A237" t="inlineStr">
      <is>
        <t>Обеспечение комплексного развития сельских территорий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21" sId="1" odxf="1" dxf="1">
    <nc r="D238" t="inlineStr">
      <is>
        <t>06036 L5760</t>
      </is>
    </nc>
    <ndxf>
      <font>
        <i/>
        <name val="Times New Roman"/>
        <family val="1"/>
      </font>
    </ndxf>
  </rcc>
  <rfmt sheetId="1" sqref="D238" start="0" length="2147483647">
    <dxf>
      <font>
        <i val="0"/>
      </font>
    </dxf>
  </rfmt>
  <rcc rId="5022" sId="1">
    <nc r="E238" t="inlineStr">
      <is>
        <t>540</t>
      </is>
    </nc>
  </rcc>
  <rcc rId="5023" sId="1">
    <nc r="A23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функцион.структура!$A$5:$F$534</formula>
    <oldFormula>функцион.структура!$A$5:$F$534</oldFormula>
  </rdn>
  <rdn rId="0" localSheetId="1" customView="1" name="Z_629918FE_B1DF_464A_BF50_03D18729BC02_.wvu.FilterData" hidden="1" oldHidden="1">
    <formula>функцион.структура!$A$17:$F$541</formula>
    <oldFormula>функцион.структура!$A$17:$F$541</oldFormula>
  </rdn>
  <rcv guid="{629918FE-B1DF-464A-BF50-03D18729BC02}" action="add"/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26" sId="1" odxf="1" dxf="1">
    <oc r="A238" t="inlineStr">
      <is>
        <t>Прочие закупки товаров, работ и услуг для государственных (муниципальных) нужд</t>
      </is>
    </oc>
    <nc r="A238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5027" sId="1" numFmtId="4">
    <oc r="F238">
      <v>100</v>
    </oc>
    <nc r="F238">
      <v>51127.32</v>
    </nc>
  </rcc>
  <rcc rId="5028" sId="1">
    <oc r="F236">
      <f>F238</f>
    </oc>
    <nc r="F236">
      <f>F237</f>
    </nc>
  </rcc>
  <rrc rId="5029" sId="1" ref="A239:XFD239" action="insertRow"/>
  <rfmt sheetId="1" sqref="A239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30" sId="1">
    <nc r="B239" t="inlineStr">
      <is>
        <t>04</t>
      </is>
    </nc>
  </rcc>
  <rcc rId="5031" sId="1">
    <nc r="C239" t="inlineStr">
      <is>
        <t>05</t>
      </is>
    </nc>
  </rcc>
  <rcc rId="5032" sId="1">
    <nc r="D239" t="inlineStr">
      <is>
        <t>06036 L5760</t>
      </is>
    </nc>
  </rcc>
  <rcc rId="5033" sId="1">
    <nc r="E239" t="inlineStr">
      <is>
        <t>622</t>
      </is>
    </nc>
  </rcc>
  <rcc rId="5034" sId="1" numFmtId="4">
    <nc r="F239">
      <v>51535</v>
    </nc>
  </rcc>
  <rcc rId="5035" sId="1">
    <oc r="F237">
      <f>F239</f>
    </oc>
    <nc r="F237">
      <f>SUM(F238:F239)</f>
    </nc>
  </rcc>
  <rcc rId="5036" sId="1" odxf="1" dxf="1">
    <nc r="A239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" sId="1" xfDxf="1" dxf="1" numFmtId="4">
    <oc r="F303">
      <v>26548.07</v>
    </oc>
    <nc r="F303">
      <v>8711.7999999999993</v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37" sId="1" ref="A247:XFD247" action="deleteRow">
    <undo index="65535" exp="ref" v="1" dr="F247" r="F244" sId="1"/>
    <rfmt sheetId="1" xfDxf="1" sqref="A247:XFD247" start="0" length="0">
      <dxf>
        <font>
          <i/>
          <name val="Times New Roman CYR"/>
          <family val="1"/>
        </font>
        <alignment wrapText="1"/>
      </dxf>
    </rfmt>
    <rcc rId="0" sId="1" dxf="1">
      <nc r="A247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7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7">
        <f>SUM(F248:F248)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8" sId="1" ref="A247:XFD247" action="deleteRow">
    <rfmt sheetId="1" xfDxf="1" sqref="A247:XFD247" start="0" length="0">
      <dxf>
        <font>
          <i/>
          <name val="Times New Roman CYR"/>
          <family val="1"/>
        </font>
        <alignment wrapText="1"/>
      </dxf>
    </rfmt>
    <rcc rId="0" sId="1" dxf="1">
      <nc r="A247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7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7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7">
        <f>50104.8+1022.52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47">
        <v>51127.3</v>
      </nc>
    </rcc>
  </rrc>
  <rcc rId="5039" sId="1">
    <oc r="F244">
      <f>F247+F245+#REF!</f>
    </oc>
    <nc r="F244">
      <f>F247+F245</f>
    </nc>
  </rcc>
  <rrc rId="5040" sId="1" ref="A257:XFD257" action="insertRow"/>
  <rfmt sheetId="1" sqref="A257" start="0" length="0">
    <dxf>
      <font>
        <i val="0"/>
        <color indexed="8"/>
        <name val="Times New Roman"/>
        <family val="1"/>
      </font>
      <alignment horizontal="left" vertical="center"/>
    </dxf>
  </rfmt>
  <rcc rId="5041" sId="1" odxf="1" dxf="1">
    <nc r="B25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042" sId="1" odxf="1" dxf="1">
    <nc r="C25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043" sId="1" odxf="1" dxf="1">
    <nc r="D25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57" start="0" length="0">
    <dxf>
      <font>
        <i val="0"/>
        <name val="Times New Roman"/>
        <family val="1"/>
      </font>
    </dxf>
  </rfmt>
  <rfmt sheetId="1" sqref="F257" start="0" length="0">
    <dxf>
      <font>
        <i val="0"/>
        <name val="Times New Roman"/>
        <family val="1"/>
      </font>
    </dxf>
  </rfmt>
  <rcc rId="5044" sId="1">
    <nc r="E257" t="inlineStr">
      <is>
        <t>244</t>
      </is>
    </nc>
  </rcc>
  <rcc rId="5045" sId="1">
    <nc r="A257" t="inlineStr">
      <is>
        <t>Прочие закупки товаров, работ и услуг для государственных (муниципальных) нужд</t>
      </is>
    </nc>
  </rcc>
  <rcc rId="5046" sId="1" numFmtId="4">
    <nc r="F257">
      <v>14841.30687</v>
    </nc>
  </rcc>
  <rcc rId="5047" sId="1">
    <oc r="F256">
      <f>F258</f>
    </oc>
    <nc r="F256">
      <f>SUM(F257:F258)</f>
    </nc>
  </rcc>
  <rcc rId="5048" sId="1" numFmtId="4">
    <oc r="F264">
      <f>29475.6+600+613.8</f>
    </oc>
    <nc r="F264">
      <v>330078.61</v>
    </nc>
  </rcc>
  <rcc rId="5049" sId="1" numFmtId="4">
    <oc r="F275">
      <f>23099+15000</f>
    </oc>
    <nc r="F275">
      <v>22465.171050000001</v>
    </nc>
  </rcc>
  <rcc rId="5050" sId="1" numFmtId="4">
    <oc r="F289">
      <f>51536.4-255.2</f>
    </oc>
    <nc r="F289">
      <v>51715.686000000002</v>
    </nc>
  </rcc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1" sId="1" numFmtId="4">
    <oc r="F297">
      <f>482.5+9.8</f>
    </oc>
    <nc r="F297">
      <v>492.34699999999998</v>
    </nc>
  </rcc>
  <rcc rId="5052" sId="1" numFmtId="4">
    <oc r="F305">
      <f>19875.4+1268.7+213.6</f>
    </oc>
    <nc r="F305">
      <v>21357.655999999999</v>
    </nc>
  </rcc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53" sId="1" ref="A311:XFD316" action="insertRow"/>
  <rcc rId="5054" sId="1" odxf="1" dxf="1">
    <nc r="A31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5055" sId="1" odxf="1" dxf="1">
    <nc r="B311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6" sId="1" odxf="1" dxf="1">
    <nc r="C311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7" sId="1" odxf="1" dxf="1">
    <nc r="D31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11" start="0" length="0">
    <dxf>
      <fill>
        <patternFill patternType="none">
          <bgColor indexed="65"/>
        </patternFill>
      </fill>
    </dxf>
  </rfmt>
  <rcc rId="5058" sId="1" odxf="1" dxf="1">
    <nc r="F311">
      <f>F312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9" sId="1" odxf="1" dxf="1">
    <nc r="A31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060" sId="1" odxf="1" dxf="1">
    <nc r="B312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1" sId="1" odxf="1" dxf="1">
    <nc r="C312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2" sId="1" odxf="1" dxf="1">
    <nc r="D31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1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1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5063" sId="1" odxf="1" dxf="1">
    <nc r="B313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4" sId="1" odxf="1" dxf="1">
    <nc r="C313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65" sId="1" odxf="1" dxf="1">
    <nc r="F313">
      <f>F314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6" sId="1" odxf="1" dxf="1">
    <nc r="A31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067" sId="1" odxf="1" dxf="1">
    <nc r="B314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8" sId="1" odxf="1" dxf="1">
    <nc r="C314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31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1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69" sId="1" odxf="1" dxf="1">
    <nc r="F314">
      <f>SUM(F315:F316)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70" sId="1" odxf="1" dxf="1">
    <nc r="A315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</ndxf>
  </rcc>
  <rcc rId="5071" sId="1" odxf="1" dxf="1">
    <nc r="B315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2" sId="1" odxf="1" dxf="1">
    <nc r="C315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31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3" sId="1" odxf="1" dxf="1">
    <nc r="E315" t="inlineStr">
      <is>
        <t>540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4" sId="1" odxf="1" dxf="1" numFmtId="4">
    <nc r="F315">
      <v>51127.32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5" sId="1" odxf="1" dxf="1">
    <nc r="A316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6" sId="1" odxf="1" dxf="1">
    <nc r="B316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7" sId="1" odxf="1" dxf="1">
    <nc r="C316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31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8" sId="1" odxf="1" dxf="1">
    <nc r="E316" t="inlineStr">
      <is>
        <t>622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1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9" sId="1">
    <nc r="D313" t="inlineStr">
      <is>
        <t>06031 00000</t>
      </is>
    </nc>
  </rcc>
  <rcc rId="5080" sId="1">
    <nc r="D314" t="inlineStr">
      <is>
        <t>06031 L5760</t>
      </is>
    </nc>
  </rcc>
  <rcc rId="5081" sId="1">
    <nc r="D315" t="inlineStr">
      <is>
        <t>06031 L5760</t>
      </is>
    </nc>
  </rcc>
  <rcc rId="5082" sId="1">
    <nc r="D316" t="inlineStr">
      <is>
        <t>06031 L5760</t>
      </is>
    </nc>
  </rcc>
  <rrc rId="5083" sId="1" ref="A315:XFD315" action="deleteRow">
    <undo index="65535" exp="area" dr="F315:F316" r="F314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5">
        <v>51127.32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84" sId="1" numFmtId="4">
    <nc r="F315">
      <v>39145.870000000003</v>
    </nc>
  </rcc>
  <rcc rId="5085" sId="1" xfDxf="1" dxf="1">
    <nc r="A313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086" sId="1" ref="A316:XFD318" action="insertRow"/>
  <rcc rId="5087" sId="1" odxf="1" dxf="1">
    <nc r="A3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088" sId="1" odxf="1" dxf="1">
    <nc r="B31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9" sId="1" odxf="1" dxf="1">
    <nc r="C31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6" start="0" length="0">
    <dxf>
      <font>
        <i/>
        <name val="Times New Roman"/>
        <family val="1"/>
      </font>
    </dxf>
  </rfmt>
  <rfmt sheetId="1" sqref="E316" start="0" length="0">
    <dxf>
      <font>
        <i/>
        <name val="Times New Roman"/>
        <family val="1"/>
      </font>
    </dxf>
  </rfmt>
  <rfmt sheetId="1" sqref="F316" start="0" length="0">
    <dxf>
      <font>
        <i/>
        <name val="Times New Roman"/>
        <family val="1"/>
      </font>
    </dxf>
  </rfmt>
  <rcc rId="5090" sId="1" odxf="1" dxf="1">
    <nc r="A317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091" sId="1" odxf="1" dxf="1">
    <nc r="B31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2" sId="1" odxf="1" dxf="1">
    <nc r="C31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7" start="0" length="0">
    <dxf>
      <font>
        <i/>
        <name val="Times New Roman"/>
        <family val="1"/>
      </font>
    </dxf>
  </rfmt>
  <rfmt sheetId="1" sqref="E317" start="0" length="0">
    <dxf>
      <font>
        <i/>
        <name val="Times New Roman"/>
        <family val="1"/>
      </font>
    </dxf>
  </rfmt>
  <rcc rId="5093" sId="1" odxf="1" dxf="1">
    <nc r="F317">
      <f>SUM(F318:F318)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4" sId="1">
    <nc r="A318" t="inlineStr">
      <is>
        <t>Субсидии автономным учреждениям на иные цели</t>
      </is>
    </nc>
  </rcc>
  <rcc rId="5095" sId="1">
    <nc r="B318" t="inlineStr">
      <is>
        <t>04</t>
      </is>
    </nc>
  </rcc>
  <rcc rId="5096" sId="1">
    <nc r="C318" t="inlineStr">
      <is>
        <t>05</t>
      </is>
    </nc>
  </rcc>
  <rcc rId="5097" sId="1">
    <nc r="E318" t="inlineStr">
      <is>
        <t>622</t>
      </is>
    </nc>
  </rcc>
  <rcc rId="5098" sId="1">
    <nc r="D316" t="inlineStr">
      <is>
        <t>06033 00000</t>
      </is>
    </nc>
  </rcc>
  <rcc rId="5099" sId="1">
    <nc r="D317" t="inlineStr">
      <is>
        <t>06033 L5760</t>
      </is>
    </nc>
  </rcc>
  <rcc rId="5100" sId="1">
    <nc r="D318" t="inlineStr">
      <is>
        <t>06033 L5760</t>
      </is>
    </nc>
  </rcc>
  <rcc rId="5101" sId="1" numFmtId="4">
    <nc r="F318">
      <v>45171.06</v>
    </nc>
  </rcc>
  <rcc rId="5102" sId="1">
    <nc r="F312">
      <f>F313+F316</f>
    </nc>
  </rcc>
  <rrc rId="5103" sId="1" ref="A319:XFD320" action="insertRow"/>
  <rfmt sheetId="1" sqref="A319" start="0" length="0">
    <dxf>
      <font>
        <i/>
        <name val="Times New Roman"/>
        <family val="1"/>
      </font>
      <alignment horizontal="general" vertical="top"/>
    </dxf>
  </rfmt>
  <rcc rId="5104" sId="1" odxf="1" dxf="1">
    <nc r="B319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05" sId="1" odxf="1" dxf="1">
    <nc r="C31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9" start="0" length="0">
    <dxf>
      <font>
        <i/>
        <name val="Times New Roman"/>
        <family val="1"/>
      </font>
    </dxf>
  </rfmt>
  <rfmt sheetId="1" sqref="E319" start="0" length="0">
    <dxf>
      <font>
        <i/>
        <name val="Times New Roman"/>
        <family val="1"/>
      </font>
    </dxf>
  </rfmt>
  <rcc rId="5106" sId="1" odxf="1" dxf="1">
    <nc r="F319">
      <f>SUM(F320:F320)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07" sId="1">
    <nc r="A320" t="inlineStr">
      <is>
        <t>Субсидии автономным учреждениям на иные цели</t>
      </is>
    </nc>
  </rcc>
  <rcc rId="5108" sId="1">
    <nc r="B320" t="inlineStr">
      <is>
        <t>04</t>
      </is>
    </nc>
  </rcc>
  <rcc rId="5109" sId="1">
    <nc r="C320" t="inlineStr">
      <is>
        <t>05</t>
      </is>
    </nc>
  </rcc>
  <rcc rId="5110" sId="1">
    <nc r="E320" t="inlineStr">
      <is>
        <t>622</t>
      </is>
    </nc>
  </rcc>
  <rcc rId="5111" sId="1">
    <nc r="D319" t="inlineStr">
      <is>
        <t>06033 S2M40</t>
      </is>
    </nc>
  </rcc>
  <rcc rId="5112" sId="1" odxf="1" dxf="1">
    <nc r="D320" t="inlineStr">
      <is>
        <t>06033 S2M40</t>
      </is>
    </nc>
    <ndxf>
      <font>
        <i/>
        <name val="Times New Roman"/>
        <family val="1"/>
      </font>
    </ndxf>
  </rcc>
  <rcc rId="5113" sId="1" numFmtId="4">
    <nc r="F320">
      <v>20379.41</v>
    </nc>
  </rcc>
  <rcc rId="5114" sId="1">
    <nc r="F316">
      <f>F317+F319</f>
    </nc>
  </rcc>
  <rcc rId="5115" sId="1" xfDxf="1" dxf="1">
    <nc r="A319" t="inlineStr">
      <is>
        <t>Мероприятия по обеспечению комплексного развития сельских территорий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функцион.структура!$A$5:$F$544</formula>
    <oldFormula>функцион.структура!$A$5:$F$544</oldFormula>
  </rdn>
  <rdn rId="0" localSheetId="1" customView="1" name="Z_629918FE_B1DF_464A_BF50_03D18729BC02_.wvu.FilterData" hidden="1" oldHidden="1">
    <formula>функцион.структура!$A$17:$F$551</formula>
    <oldFormula>функцион.структура!$A$17:$F$551</oldFormula>
  </rdn>
  <rcv guid="{629918FE-B1DF-464A-BF50-03D18729BC02}" action="add"/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18" sId="1" numFmtId="4">
    <oc r="F357">
      <v>100</v>
    </oc>
    <nc r="F357">
      <v>102.04082</v>
    </nc>
  </rcc>
  <rcc rId="5119" sId="1" numFmtId="4">
    <oc r="F377">
      <v>64.3</v>
    </oc>
    <nc r="F377">
      <v>64.262</v>
    </nc>
  </rcc>
  <rcc rId="5120" sId="1" numFmtId="4">
    <oc r="F378">
      <v>19.399999999999999</v>
    </oc>
    <nc r="F378">
      <v>19.407</v>
    </nc>
  </rcc>
  <rcc rId="5121" sId="1" numFmtId="4">
    <oc r="F387">
      <v>423.3</v>
    </oc>
    <nc r="F387">
      <v>392.1</v>
    </nc>
  </rcc>
  <rcc rId="5122" sId="1" numFmtId="4">
    <oc r="F388">
      <v>127.8</v>
    </oc>
    <nc r="F388">
      <v>118.4</v>
    </nc>
  </rcc>
  <rcc rId="5123" sId="1" numFmtId="4">
    <oc r="F390">
      <v>2638</v>
    </oc>
    <nc r="F390">
      <v>2561.95811</v>
    </nc>
  </rcc>
  <rcc rId="5124" sId="1" numFmtId="4">
    <oc r="F391">
      <v>505.2</v>
    </oc>
    <nc r="F391">
      <v>856.38184000000001</v>
    </nc>
  </rcc>
  <rrc rId="5125" sId="1" ref="A392:XFD392" action="insertRow"/>
  <rrc rId="5126" sId="1" ref="A392:XFD392" action="insertRow"/>
  <rcc rId="5127" sId="1">
    <nc r="A392" t="inlineStr">
      <is>
        <t>Уплата налога на имущество организаций и земельного налога</t>
      </is>
    </nc>
  </rcc>
  <rcc rId="5128" sId="1">
    <nc r="B392" t="inlineStr">
      <is>
        <t>07</t>
      </is>
    </nc>
  </rcc>
  <rcc rId="5129" sId="1">
    <nc r="C392" t="inlineStr">
      <is>
        <t>09</t>
      </is>
    </nc>
  </rcc>
  <rcc rId="5130" sId="1">
    <nc r="D392" t="inlineStr">
      <is>
        <t>10501 83040</t>
      </is>
    </nc>
  </rcc>
  <rcc rId="5131" sId="1">
    <nc r="E392" t="inlineStr">
      <is>
        <t>851</t>
      </is>
    </nc>
  </rcc>
  <rcc rId="5132" sId="1">
    <nc r="A393" t="inlineStr">
      <is>
        <t xml:space="preserve">Уплата прочих налогов, сборов </t>
      </is>
    </nc>
  </rcc>
  <rcc rId="5133" sId="1">
    <nc r="B393" t="inlineStr">
      <is>
        <t>07</t>
      </is>
    </nc>
  </rcc>
  <rcc rId="5134" sId="1">
    <nc r="C393" t="inlineStr">
      <is>
        <t>09</t>
      </is>
    </nc>
  </rcc>
  <rcc rId="5135" sId="1">
    <nc r="D393" t="inlineStr">
      <is>
        <t>10501 83040</t>
      </is>
    </nc>
  </rcc>
  <rcc rId="5136" sId="1">
    <nc r="E393" t="inlineStr">
      <is>
        <t>852</t>
      </is>
    </nc>
  </rcc>
  <rcc rId="5137" sId="1" numFmtId="4">
    <nc r="F392">
      <v>35.700000000000003</v>
    </nc>
  </rcc>
  <rcc rId="5138" sId="1" numFmtId="4">
    <nc r="F393">
      <v>48.5</v>
    </nc>
  </rcc>
  <rcc rId="5139" sId="1">
    <oc r="F386">
      <f>SUM(F387:F391)</f>
    </oc>
    <nc r="F386">
      <f>SUM(F387:F393)</f>
    </nc>
  </rcc>
  <rcc rId="5140" sId="1" numFmtId="4">
    <oc r="F395">
      <f>21490.9+429.9</f>
    </oc>
    <nc r="F395">
      <v>21952</v>
    </nc>
  </rcc>
  <rcc rId="5141" sId="1" numFmtId="4">
    <oc r="F396">
      <f>6490.3+129.8</f>
    </oc>
    <nc r="F396">
      <v>6629.5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42" sId="1" ref="A414:XFD418" action="insertRow"/>
  <rcc rId="5143" sId="1" odxf="1" dxf="1">
    <nc r="A41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fmt sheetId="1" sqref="B414" start="0" length="0">
    <dxf>
      <fill>
        <patternFill patternType="none">
          <bgColor indexed="65"/>
        </patternFill>
      </fill>
    </dxf>
  </rfmt>
  <rfmt sheetId="1" sqref="C414" start="0" length="0">
    <dxf>
      <fill>
        <patternFill patternType="none">
          <bgColor indexed="65"/>
        </patternFill>
      </fill>
    </dxf>
  </rfmt>
  <rcc rId="5144" sId="1" odxf="1" dxf="1">
    <nc r="D41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14" start="0" length="0">
    <dxf>
      <fill>
        <patternFill patternType="none">
          <bgColor indexed="65"/>
        </patternFill>
      </fill>
    </dxf>
  </rfmt>
  <rcc rId="5145" sId="1" odxf="1" dxf="1">
    <nc r="F414">
      <f>F415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414" start="0" length="0">
    <dxf>
      <font>
        <i/>
        <name val="Times New Roman CYR"/>
        <family val="1"/>
      </font>
    </dxf>
  </rfmt>
  <rfmt sheetId="1" sqref="H414" start="0" length="0">
    <dxf>
      <font>
        <i/>
        <name val="Times New Roman CYR"/>
        <family val="1"/>
      </font>
    </dxf>
  </rfmt>
  <rfmt sheetId="1" sqref="I414" start="0" length="0">
    <dxf>
      <font>
        <i/>
        <name val="Times New Roman CYR"/>
        <family val="1"/>
      </font>
    </dxf>
  </rfmt>
  <rfmt sheetId="1" sqref="J414" start="0" length="0">
    <dxf>
      <font>
        <i/>
        <name val="Times New Roman CYR"/>
        <family val="1"/>
      </font>
    </dxf>
  </rfmt>
  <rfmt sheetId="1" sqref="K414" start="0" length="0">
    <dxf>
      <font>
        <i/>
        <name val="Times New Roman CYR"/>
        <family val="1"/>
      </font>
    </dxf>
  </rfmt>
  <rfmt sheetId="1" sqref="L414" start="0" length="0">
    <dxf>
      <font>
        <i/>
        <name val="Times New Roman CYR"/>
        <family val="1"/>
      </font>
    </dxf>
  </rfmt>
  <rfmt sheetId="1" sqref="M414" start="0" length="0">
    <dxf>
      <font>
        <i/>
        <name val="Times New Roman CYR"/>
        <family val="1"/>
      </font>
    </dxf>
  </rfmt>
  <rfmt sheetId="1" sqref="N414" start="0" length="0">
    <dxf>
      <font>
        <i/>
        <name val="Times New Roman CYR"/>
        <family val="1"/>
      </font>
    </dxf>
  </rfmt>
  <rfmt sheetId="1" sqref="O414" start="0" length="0">
    <dxf>
      <font>
        <i/>
        <name val="Times New Roman CYR"/>
        <family val="1"/>
      </font>
    </dxf>
  </rfmt>
  <rfmt sheetId="1" sqref="P414" start="0" length="0">
    <dxf>
      <font>
        <i/>
        <name val="Times New Roman CYR"/>
        <family val="1"/>
      </font>
    </dxf>
  </rfmt>
  <rfmt sheetId="1" sqref="Q414" start="0" length="0">
    <dxf>
      <font>
        <i/>
        <name val="Times New Roman CYR"/>
        <family val="1"/>
      </font>
    </dxf>
  </rfmt>
  <rfmt sheetId="1" sqref="A414:XFD414" start="0" length="0">
    <dxf>
      <font>
        <i/>
        <name val="Times New Roman CYR"/>
        <family val="1"/>
      </font>
    </dxf>
  </rfmt>
  <rcc rId="5146" sId="1" odxf="1" dxf="1">
    <nc r="A41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47" sId="1" odxf="1" dxf="1">
    <nc r="D415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48" sId="1" odxf="1" dxf="1">
    <nc r="F415">
      <f>F416+F419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5" start="0" length="0">
    <dxf>
      <font>
        <i/>
        <name val="Times New Roman CYR"/>
        <family val="1"/>
      </font>
    </dxf>
  </rfmt>
  <rfmt sheetId="1" sqref="H415" start="0" length="0">
    <dxf>
      <font>
        <i/>
        <name val="Times New Roman CYR"/>
        <family val="1"/>
      </font>
    </dxf>
  </rfmt>
  <rfmt sheetId="1" sqref="I415" start="0" length="0">
    <dxf>
      <font>
        <i/>
        <name val="Times New Roman CYR"/>
        <family val="1"/>
      </font>
    </dxf>
  </rfmt>
  <rfmt sheetId="1" sqref="J415" start="0" length="0">
    <dxf>
      <font>
        <i/>
        <name val="Times New Roman CYR"/>
        <family val="1"/>
      </font>
    </dxf>
  </rfmt>
  <rfmt sheetId="1" sqref="K415" start="0" length="0">
    <dxf>
      <font>
        <i/>
        <name val="Times New Roman CYR"/>
        <family val="1"/>
      </font>
    </dxf>
  </rfmt>
  <rfmt sheetId="1" sqref="L415" start="0" length="0">
    <dxf>
      <font>
        <i/>
        <name val="Times New Roman CYR"/>
        <family val="1"/>
      </font>
    </dxf>
  </rfmt>
  <rfmt sheetId="1" sqref="M415" start="0" length="0">
    <dxf>
      <font>
        <i/>
        <name val="Times New Roman CYR"/>
        <family val="1"/>
      </font>
    </dxf>
  </rfmt>
  <rfmt sheetId="1" sqref="N415" start="0" length="0">
    <dxf>
      <font>
        <i/>
        <name val="Times New Roman CYR"/>
        <family val="1"/>
      </font>
    </dxf>
  </rfmt>
  <rfmt sheetId="1" sqref="O415" start="0" length="0">
    <dxf>
      <font>
        <i/>
        <name val="Times New Roman CYR"/>
        <family val="1"/>
      </font>
    </dxf>
  </rfmt>
  <rfmt sheetId="1" sqref="P415" start="0" length="0">
    <dxf>
      <font>
        <i/>
        <name val="Times New Roman CYR"/>
        <family val="1"/>
      </font>
    </dxf>
  </rfmt>
  <rfmt sheetId="1" sqref="Q415" start="0" length="0">
    <dxf>
      <font>
        <i/>
        <name val="Times New Roman CYR"/>
        <family val="1"/>
      </font>
    </dxf>
  </rfmt>
  <rfmt sheetId="1" sqref="A415:XFD415" start="0" length="0">
    <dxf>
      <font>
        <i/>
        <name val="Times New Roman CYR"/>
        <family val="1"/>
      </font>
    </dxf>
  </rfmt>
  <rcc rId="5149" sId="1" odxf="1" dxf="1">
    <nc r="A4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0" sId="1" odxf="1" dxf="1">
    <nc r="D416" t="inlineStr">
      <is>
        <t>06031 00000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1" sId="1" odxf="1" dxf="1">
    <nc r="F416">
      <f>F417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6" start="0" length="0">
    <dxf>
      <font>
        <i/>
        <name val="Times New Roman CYR"/>
        <family val="1"/>
      </font>
    </dxf>
  </rfmt>
  <rfmt sheetId="1" sqref="H416" start="0" length="0">
    <dxf>
      <font>
        <i/>
        <name val="Times New Roman CYR"/>
        <family val="1"/>
      </font>
    </dxf>
  </rfmt>
  <rfmt sheetId="1" sqref="I416" start="0" length="0">
    <dxf>
      <font>
        <i/>
        <name val="Times New Roman CYR"/>
        <family val="1"/>
      </font>
    </dxf>
  </rfmt>
  <rfmt sheetId="1" sqref="J416" start="0" length="0">
    <dxf>
      <font>
        <i/>
        <name val="Times New Roman CYR"/>
        <family val="1"/>
      </font>
    </dxf>
  </rfmt>
  <rfmt sheetId="1" sqref="K416" start="0" length="0">
    <dxf>
      <font>
        <i/>
        <name val="Times New Roman CYR"/>
        <family val="1"/>
      </font>
    </dxf>
  </rfmt>
  <rfmt sheetId="1" sqref="L416" start="0" length="0">
    <dxf>
      <font>
        <i/>
        <name val="Times New Roman CYR"/>
        <family val="1"/>
      </font>
    </dxf>
  </rfmt>
  <rfmt sheetId="1" sqref="M416" start="0" length="0">
    <dxf>
      <font>
        <i/>
        <name val="Times New Roman CYR"/>
        <family val="1"/>
      </font>
    </dxf>
  </rfmt>
  <rfmt sheetId="1" sqref="N416" start="0" length="0">
    <dxf>
      <font>
        <i/>
        <name val="Times New Roman CYR"/>
        <family val="1"/>
      </font>
    </dxf>
  </rfmt>
  <rfmt sheetId="1" sqref="O416" start="0" length="0">
    <dxf>
      <font>
        <i/>
        <name val="Times New Roman CYR"/>
        <family val="1"/>
      </font>
    </dxf>
  </rfmt>
  <rfmt sheetId="1" sqref="P416" start="0" length="0">
    <dxf>
      <font>
        <i/>
        <name val="Times New Roman CYR"/>
        <family val="1"/>
      </font>
    </dxf>
  </rfmt>
  <rfmt sheetId="1" sqref="Q416" start="0" length="0">
    <dxf>
      <font>
        <i/>
        <name val="Times New Roman CYR"/>
        <family val="1"/>
      </font>
    </dxf>
  </rfmt>
  <rfmt sheetId="1" sqref="A416:XFD416" start="0" length="0">
    <dxf>
      <font>
        <i/>
        <name val="Times New Roman CYR"/>
        <family val="1"/>
      </font>
    </dxf>
  </rfmt>
  <rcc rId="5152" sId="1" odxf="1" dxf="1">
    <nc r="A417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3" sId="1" odxf="1" dxf="1">
    <nc r="D417" t="inlineStr">
      <is>
        <t>06031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4" sId="1" odxf="1" dxf="1">
    <nc r="F417">
      <f>SUM(F418:F418)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7" start="0" length="0">
    <dxf>
      <font>
        <i/>
        <name val="Times New Roman CYR"/>
        <family val="1"/>
      </font>
    </dxf>
  </rfmt>
  <rfmt sheetId="1" sqref="H417" start="0" length="0">
    <dxf>
      <font>
        <i/>
        <name val="Times New Roman CYR"/>
        <family val="1"/>
      </font>
    </dxf>
  </rfmt>
  <rfmt sheetId="1" sqref="I417" start="0" length="0">
    <dxf>
      <font>
        <i/>
        <name val="Times New Roman CYR"/>
        <family val="1"/>
      </font>
    </dxf>
  </rfmt>
  <rfmt sheetId="1" sqref="J417" start="0" length="0">
    <dxf>
      <font>
        <i/>
        <name val="Times New Roman CYR"/>
        <family val="1"/>
      </font>
    </dxf>
  </rfmt>
  <rfmt sheetId="1" sqref="K417" start="0" length="0">
    <dxf>
      <font>
        <i/>
        <name val="Times New Roman CYR"/>
        <family val="1"/>
      </font>
    </dxf>
  </rfmt>
  <rfmt sheetId="1" sqref="L417" start="0" length="0">
    <dxf>
      <font>
        <i/>
        <name val="Times New Roman CYR"/>
        <family val="1"/>
      </font>
    </dxf>
  </rfmt>
  <rfmt sheetId="1" sqref="M417" start="0" length="0">
    <dxf>
      <font>
        <i/>
        <name val="Times New Roman CYR"/>
        <family val="1"/>
      </font>
    </dxf>
  </rfmt>
  <rfmt sheetId="1" sqref="N417" start="0" length="0">
    <dxf>
      <font>
        <i/>
        <name val="Times New Roman CYR"/>
        <family val="1"/>
      </font>
    </dxf>
  </rfmt>
  <rfmt sheetId="1" sqref="O417" start="0" length="0">
    <dxf>
      <font>
        <i/>
        <name val="Times New Roman CYR"/>
        <family val="1"/>
      </font>
    </dxf>
  </rfmt>
  <rfmt sheetId="1" sqref="P417" start="0" length="0">
    <dxf>
      <font>
        <i/>
        <name val="Times New Roman CYR"/>
        <family val="1"/>
      </font>
    </dxf>
  </rfmt>
  <rfmt sheetId="1" sqref="Q417" start="0" length="0">
    <dxf>
      <font>
        <i/>
        <name val="Times New Roman CYR"/>
        <family val="1"/>
      </font>
    </dxf>
  </rfmt>
  <rfmt sheetId="1" sqref="A417:XFD417" start="0" length="0">
    <dxf>
      <font>
        <i/>
        <name val="Times New Roman CYR"/>
        <family val="1"/>
      </font>
    </dxf>
  </rfmt>
  <rcc rId="5155" sId="1" odxf="1" dxf="1">
    <nc r="A418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B4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156" sId="1" odxf="1" dxf="1">
    <nc r="D418" t="inlineStr">
      <is>
        <t>06031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157" sId="1" odxf="1" dxf="1">
    <nc r="E418" t="inlineStr">
      <is>
        <t>622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158" sId="1" odxf="1" dxf="1" numFmtId="4">
    <nc r="F418">
      <v>39145.870000000003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418" start="0" length="0">
    <dxf>
      <font>
        <i/>
        <name val="Times New Roman CYR"/>
        <family val="1"/>
      </font>
    </dxf>
  </rfmt>
  <rfmt sheetId="1" sqref="H418" start="0" length="0">
    <dxf>
      <font>
        <i/>
        <name val="Times New Roman CYR"/>
        <family val="1"/>
      </font>
    </dxf>
  </rfmt>
  <rfmt sheetId="1" sqref="I418" start="0" length="0">
    <dxf>
      <font>
        <i/>
        <name val="Times New Roman CYR"/>
        <family val="1"/>
      </font>
    </dxf>
  </rfmt>
  <rfmt sheetId="1" sqref="J418" start="0" length="0">
    <dxf>
      <font>
        <i/>
        <name val="Times New Roman CYR"/>
        <family val="1"/>
      </font>
    </dxf>
  </rfmt>
  <rfmt sheetId="1" sqref="K418" start="0" length="0">
    <dxf>
      <font>
        <i/>
        <name val="Times New Roman CYR"/>
        <family val="1"/>
      </font>
    </dxf>
  </rfmt>
  <rfmt sheetId="1" sqref="L418" start="0" length="0">
    <dxf>
      <font>
        <i/>
        <name val="Times New Roman CYR"/>
        <family val="1"/>
      </font>
    </dxf>
  </rfmt>
  <rfmt sheetId="1" sqref="M418" start="0" length="0">
    <dxf>
      <font>
        <i/>
        <name val="Times New Roman CYR"/>
        <family val="1"/>
      </font>
    </dxf>
  </rfmt>
  <rfmt sheetId="1" sqref="N418" start="0" length="0">
    <dxf>
      <font>
        <i/>
        <name val="Times New Roman CYR"/>
        <family val="1"/>
      </font>
    </dxf>
  </rfmt>
  <rfmt sheetId="1" sqref="O418" start="0" length="0">
    <dxf>
      <font>
        <i/>
        <name val="Times New Roman CYR"/>
        <family val="1"/>
      </font>
    </dxf>
  </rfmt>
  <rfmt sheetId="1" sqref="P418" start="0" length="0">
    <dxf>
      <font>
        <i/>
        <name val="Times New Roman CYR"/>
        <family val="1"/>
      </font>
    </dxf>
  </rfmt>
  <rfmt sheetId="1" sqref="Q418" start="0" length="0">
    <dxf>
      <font>
        <i/>
        <name val="Times New Roman CYR"/>
        <family val="1"/>
      </font>
    </dxf>
  </rfmt>
  <rfmt sheetId="1" sqref="A418:XFD418" start="0" length="0">
    <dxf>
      <font>
        <i/>
        <name val="Times New Roman CYR"/>
        <family val="1"/>
      </font>
    </dxf>
  </rfmt>
  <rcc rId="5159" sId="1">
    <nc r="B414" t="inlineStr">
      <is>
        <t>08</t>
      </is>
    </nc>
  </rcc>
  <rcc rId="5160" sId="1">
    <nc r="C414" t="inlineStr">
      <is>
        <t>01</t>
      </is>
    </nc>
  </rcc>
  <rcc rId="5161" sId="1">
    <nc r="B415" t="inlineStr">
      <is>
        <t>08</t>
      </is>
    </nc>
  </rcc>
  <rcc rId="5162" sId="1">
    <nc r="C415" t="inlineStr">
      <is>
        <t>01</t>
      </is>
    </nc>
  </rcc>
  <rcc rId="5163" sId="1">
    <nc r="B416" t="inlineStr">
      <is>
        <t>08</t>
      </is>
    </nc>
  </rcc>
  <rcc rId="5164" sId="1">
    <nc r="C416" t="inlineStr">
      <is>
        <t>01</t>
      </is>
    </nc>
  </rcc>
  <rcc rId="5165" sId="1">
    <nc r="B417" t="inlineStr">
      <is>
        <t>08</t>
      </is>
    </nc>
  </rcc>
  <rcc rId="5166" sId="1">
    <nc r="C417" t="inlineStr">
      <is>
        <t>01</t>
      </is>
    </nc>
  </rcc>
  <rcc rId="5167" sId="1">
    <nc r="B418" t="inlineStr">
      <is>
        <t>08</t>
      </is>
    </nc>
  </rcc>
  <rcc rId="5168" sId="1">
    <nc r="C418" t="inlineStr">
      <is>
        <t>01</t>
      </is>
    </nc>
  </rcc>
  <rcc rId="5169" sId="1">
    <oc r="B311" t="inlineStr">
      <is>
        <t>04</t>
      </is>
    </oc>
    <nc r="B311" t="inlineStr">
      <is>
        <t>07</t>
      </is>
    </nc>
  </rcc>
  <rcc rId="5170" sId="1">
    <oc r="C311" t="inlineStr">
      <is>
        <t>05</t>
      </is>
    </oc>
    <nc r="C311" t="inlineStr">
      <is>
        <t>03</t>
      </is>
    </nc>
  </rcc>
  <rcc rId="5171" sId="1">
    <oc r="B312" t="inlineStr">
      <is>
        <t>04</t>
      </is>
    </oc>
    <nc r="B312" t="inlineStr">
      <is>
        <t>07</t>
      </is>
    </nc>
  </rcc>
  <rcc rId="5172" sId="1">
    <oc r="C312" t="inlineStr">
      <is>
        <t>05</t>
      </is>
    </oc>
    <nc r="C312" t="inlineStr">
      <is>
        <t>03</t>
      </is>
    </nc>
  </rcc>
  <rcc rId="5173" sId="1">
    <oc r="B313" t="inlineStr">
      <is>
        <t>04</t>
      </is>
    </oc>
    <nc r="B313" t="inlineStr">
      <is>
        <t>07</t>
      </is>
    </nc>
  </rcc>
  <rcc rId="5174" sId="1">
    <oc r="C313" t="inlineStr">
      <is>
        <t>05</t>
      </is>
    </oc>
    <nc r="C313" t="inlineStr">
      <is>
        <t>03</t>
      </is>
    </nc>
  </rcc>
  <rcc rId="5175" sId="1">
    <oc r="B314" t="inlineStr">
      <is>
        <t>04</t>
      </is>
    </oc>
    <nc r="B314" t="inlineStr">
      <is>
        <t>07</t>
      </is>
    </nc>
  </rcc>
  <rcc rId="5176" sId="1">
    <oc r="C314" t="inlineStr">
      <is>
        <t>05</t>
      </is>
    </oc>
    <nc r="C314" t="inlineStr">
      <is>
        <t>,03</t>
      </is>
    </nc>
  </rcc>
  <rcc rId="5177" sId="1">
    <oc r="B315" t="inlineStr">
      <is>
        <t>04</t>
      </is>
    </oc>
    <nc r="B315" t="inlineStr">
      <is>
        <t>07</t>
      </is>
    </nc>
  </rcc>
  <rcc rId="5178" sId="1">
    <oc r="C315" t="inlineStr">
      <is>
        <t>05</t>
      </is>
    </oc>
    <nc r="C315" t="inlineStr">
      <is>
        <t>03</t>
      </is>
    </nc>
  </rcc>
  <rcc rId="5179" sId="1">
    <oc r="B316" t="inlineStr">
      <is>
        <t>04</t>
      </is>
    </oc>
    <nc r="B316" t="inlineStr">
      <is>
        <t>07</t>
      </is>
    </nc>
  </rcc>
  <rcc rId="5180" sId="1">
    <oc r="C316" t="inlineStr">
      <is>
        <t>05</t>
      </is>
    </oc>
    <nc r="C316" t="inlineStr">
      <is>
        <t>03</t>
      </is>
    </nc>
  </rcc>
  <rcc rId="5181" sId="1">
    <oc r="B317" t="inlineStr">
      <is>
        <t>04</t>
      </is>
    </oc>
    <nc r="B317" t="inlineStr">
      <is>
        <t>07</t>
      </is>
    </nc>
  </rcc>
  <rcc rId="5182" sId="1">
    <oc r="C317" t="inlineStr">
      <is>
        <t>05</t>
      </is>
    </oc>
    <nc r="C317" t="inlineStr">
      <is>
        <t>03</t>
      </is>
    </nc>
  </rcc>
  <rcc rId="5183" sId="1">
    <oc r="B318" t="inlineStr">
      <is>
        <t>04</t>
      </is>
    </oc>
    <nc r="B318" t="inlineStr">
      <is>
        <t>07</t>
      </is>
    </nc>
  </rcc>
  <rcc rId="5184" sId="1">
    <oc r="C318" t="inlineStr">
      <is>
        <t>05</t>
      </is>
    </oc>
    <nc r="C318" t="inlineStr">
      <is>
        <t>03</t>
      </is>
    </nc>
  </rcc>
  <rcc rId="5185" sId="1">
    <oc r="B319" t="inlineStr">
      <is>
        <t>04</t>
      </is>
    </oc>
    <nc r="B319" t="inlineStr">
      <is>
        <t>07</t>
      </is>
    </nc>
  </rcc>
  <rcc rId="5186" sId="1">
    <oc r="C319" t="inlineStr">
      <is>
        <t>05</t>
      </is>
    </oc>
    <nc r="C319" t="inlineStr">
      <is>
        <t>03</t>
      </is>
    </nc>
  </rcc>
  <rcc rId="5187" sId="1">
    <oc r="B320" t="inlineStr">
      <is>
        <t>04</t>
      </is>
    </oc>
    <nc r="B320" t="inlineStr">
      <is>
        <t>07</t>
      </is>
    </nc>
  </rcc>
  <rcc rId="5188" sId="1">
    <oc r="C320" t="inlineStr">
      <is>
        <t>05</t>
      </is>
    </oc>
    <nc r="C320" t="inlineStr">
      <is>
        <t>03</t>
      </is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89" sId="1">
    <oc r="D416" t="inlineStr">
      <is>
        <t>06031 00000</t>
      </is>
    </oc>
    <nc r="D416" t="inlineStr">
      <is>
        <t>06032 00000</t>
      </is>
    </nc>
  </rcc>
  <rcc rId="5190" sId="1">
    <oc r="D417" t="inlineStr">
      <is>
        <t>06031 L5760</t>
      </is>
    </oc>
    <nc r="D417" t="inlineStr">
      <is>
        <t>06032 L5760</t>
      </is>
    </nc>
  </rcc>
  <rcc rId="5191" sId="1">
    <oc r="D418" t="inlineStr">
      <is>
        <t>06031 L5760</t>
      </is>
    </oc>
    <nc r="D418" t="inlineStr">
      <is>
        <t>06032 L5760</t>
      </is>
    </nc>
  </rcc>
  <rcc rId="5192" sId="1">
    <oc r="E418" t="inlineStr">
      <is>
        <t>622</t>
      </is>
    </oc>
    <nc r="E418" t="inlineStr">
      <is>
        <t>414</t>
      </is>
    </nc>
  </rcc>
  <rcc rId="5193" sId="1" numFmtId="4">
    <oc r="F418">
      <v>39145.870000000003</v>
    </oc>
    <nc r="F418">
      <v>57885</v>
    </nc>
  </rcc>
  <rrc rId="5194" sId="1" ref="A419:XFD421" action="insertRow"/>
  <rfmt sheetId="1" sqref="A419" start="0" length="0">
    <dxf>
      <font>
        <i/>
        <name val="Times New Roman"/>
        <family val="1"/>
      </font>
      <alignment horizontal="general" vertical="top"/>
    </dxf>
  </rfmt>
  <rcc rId="5195" sId="1" odxf="1" dxf="1">
    <nc r="B4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96" sId="1" odxf="1" dxf="1">
    <nc r="C4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9" start="0" length="0">
    <dxf>
      <font>
        <i/>
        <name val="Times New Roman"/>
        <family val="1"/>
      </font>
    </dxf>
  </rfmt>
  <rfmt sheetId="1" sqref="E419" start="0" length="0">
    <dxf>
      <font>
        <i/>
        <name val="Times New Roman"/>
        <family val="1"/>
      </font>
    </dxf>
  </rfmt>
  <rcc rId="5197" sId="1" odxf="1" dxf="1">
    <nc r="F419">
      <f>F420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98" sId="1" odxf="1" dxf="1">
    <nc r="A420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199" sId="1" odxf="1" dxf="1">
    <nc r="B4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00" sId="1" odxf="1" dxf="1">
    <nc r="C4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cc rId="5201" sId="1" odxf="1" dxf="1">
    <nc r="F420">
      <f>SUM(F421:F421)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02" sId="1">
    <nc r="A421" t="inlineStr">
      <is>
        <t>Субсидии автономным учреждениям на иные цели</t>
      </is>
    </nc>
  </rcc>
  <rcc rId="5203" sId="1">
    <nc r="B421" t="inlineStr">
      <is>
        <t>08</t>
      </is>
    </nc>
  </rcc>
  <rcc rId="5204" sId="1">
    <nc r="C421" t="inlineStr">
      <is>
        <t>01</t>
      </is>
    </nc>
  </rcc>
  <rcc rId="5205" sId="1">
    <nc r="D419" t="inlineStr">
      <is>
        <t>06034 00000</t>
      </is>
    </nc>
  </rcc>
  <rcc rId="5206" sId="1">
    <nc r="D420" t="inlineStr">
      <is>
        <t>06034 L5760</t>
      </is>
    </nc>
  </rcc>
  <rcc rId="5207" sId="1">
    <nc r="D421" t="inlineStr">
      <is>
        <t>06034 L5760</t>
      </is>
    </nc>
  </rcc>
  <rcc rId="5208" sId="1">
    <nc r="E421" t="inlineStr">
      <is>
        <t>622</t>
      </is>
    </nc>
  </rcc>
  <rcc rId="5209" sId="1" numFmtId="4">
    <nc r="F421">
      <v>71232.36</v>
    </nc>
  </rcc>
  <rcc rId="5210" sId="1">
    <oc r="A418" t="inlineStr">
      <is>
        <t>Субсидии автономным учреждениям на иные цели</t>
      </is>
    </oc>
    <nc r="A418"/>
  </rcc>
  <rrc rId="5211" sId="1" ref="A422:XFD424" action="insertRow"/>
  <rfmt sheetId="1" sqref="A422" start="0" length="0">
    <dxf>
      <font>
        <i/>
        <name val="Times New Roman"/>
        <family val="1"/>
      </font>
      <alignment horizontal="general" vertical="top"/>
    </dxf>
  </rfmt>
  <rcc rId="5212" sId="1" odxf="1" dxf="1">
    <nc r="B42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3" sId="1" odxf="1" dxf="1">
    <nc r="C4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2" start="0" length="0">
    <dxf>
      <font>
        <i/>
        <name val="Times New Roman"/>
        <family val="1"/>
      </font>
    </dxf>
  </rfmt>
  <rfmt sheetId="1" sqref="E422" start="0" length="0">
    <dxf>
      <font>
        <i/>
        <name val="Times New Roman"/>
        <family val="1"/>
      </font>
    </dxf>
  </rfmt>
  <rcc rId="5214" sId="1" odxf="1" dxf="1">
    <nc r="F422">
      <f>F423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5" sId="1" odxf="1" dxf="1">
    <nc r="A423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216" sId="1" odxf="1" dxf="1">
    <nc r="B42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7" sId="1" odxf="1" dxf="1">
    <nc r="C4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3" start="0" length="0">
    <dxf>
      <font>
        <i/>
        <name val="Times New Roman"/>
        <family val="1"/>
      </font>
    </dxf>
  </rfmt>
  <rfmt sheetId="1" sqref="E423" start="0" length="0">
    <dxf>
      <font>
        <i/>
        <name val="Times New Roman"/>
        <family val="1"/>
      </font>
    </dxf>
  </rfmt>
  <rcc rId="5218" sId="1" odxf="1" dxf="1">
    <nc r="F423">
      <f>SUM(F424:F424)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9" sId="1">
    <nc r="A424" t="inlineStr">
      <is>
        <t>Субсидии автономным учреждениям на иные цели</t>
      </is>
    </nc>
  </rcc>
  <rcc rId="5220" sId="1">
    <nc r="B424" t="inlineStr">
      <is>
        <t>08</t>
      </is>
    </nc>
  </rcc>
  <rcc rId="5221" sId="1">
    <nc r="C424" t="inlineStr">
      <is>
        <t>01</t>
      </is>
    </nc>
  </rcc>
  <rcc rId="5222" sId="1">
    <nc r="E424" t="inlineStr">
      <is>
        <t>622</t>
      </is>
    </nc>
  </rcc>
  <rcc rId="5223" sId="1">
    <nc r="D422" t="inlineStr">
      <is>
        <t>06037 00000</t>
      </is>
    </nc>
  </rcc>
  <rcc rId="5224" sId="1">
    <nc r="D423" t="inlineStr">
      <is>
        <t>06037 L5760</t>
      </is>
    </nc>
  </rcc>
  <rcc rId="5225" sId="1">
    <nc r="D424" t="inlineStr">
      <is>
        <t>06037 L5760</t>
      </is>
    </nc>
  </rcc>
  <rcc rId="5226" sId="1" numFmtId="4">
    <nc r="F424">
      <v>113109.36</v>
    </nc>
  </rcc>
  <rcc rId="5227" sId="1">
    <oc r="F415">
      <f>F416+F425</f>
    </oc>
    <nc r="F415">
      <f>F416+F419+F422</f>
    </nc>
  </rcc>
  <rcc rId="5228" sId="1" xfDxf="1" dxf="1">
    <oc r="A4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oc>
    <nc r="A416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29" sId="1" xfDxf="1" dxf="1">
    <nc r="A419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30" sId="1" xfDxf="1" dxf="1">
    <nc r="A422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функцион.структура!$A$5:$F$557</formula>
    <oldFormula>функцион.структура!$A$5:$F$557</oldFormula>
  </rdn>
  <rdn rId="0" localSheetId="1" customView="1" name="Z_629918FE_B1DF_464A_BF50_03D18729BC02_.wvu.FilterData" hidden="1" oldHidden="1">
    <formula>функцион.структура!$A$17:$F$564</formula>
    <oldFormula>функцион.структура!$A$17:$F$564</oldFormula>
  </rdn>
  <rcv guid="{629918FE-B1DF-464A-BF50-03D18729BC02}" action="add"/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3" sId="1" odxf="1" dxf="1">
    <nc r="A41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4" sId="1">
    <oc r="F413">
      <f>F425+F442</f>
    </oc>
    <nc r="F413">
      <f>F425+F442+F414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5" sId="1">
    <oc r="F310">
      <f>F321+F328+F341</f>
    </oc>
    <nc r="F310">
      <f>F321+F328+F341+F311</f>
    </nc>
  </rcc>
  <rcc rId="5236" sId="1" numFmtId="4">
    <oc r="F441">
      <v>534</v>
    </oc>
    <nc r="F441">
      <v>1284</v>
    </nc>
  </rcc>
  <rrc rId="5237" sId="1" ref="A445:XFD445" action="deleteRow">
    <undo index="65535" exp="ref" v="1" dr="F445" r="F442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Обеспечение комплексного развития сельских территорий</t>
        </is>
      </nc>
      <ndxf>
        <font>
          <i/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F446+F447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445">
        <v>241004.79999999999</v>
      </nc>
    </rcc>
  </rrc>
  <rrc rId="5238" sId="1" ref="A445:XFD445" action="deleteRow"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>
        <f>56433.1+1151.67+300.2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39" sId="1" ref="A445:XFD445" action="deleteRow"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>
        <f>179751.5+3668.5+921.8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240" sId="1">
    <oc r="F442">
      <f>F443+#REF!</f>
    </oc>
    <nc r="F442">
      <f>F443</f>
    </nc>
  </rcc>
  <rcc rId="5241" sId="1" numFmtId="4">
    <oc r="F472">
      <f>6766+138.05306+86.30068</f>
    </oc>
    <nc r="F472">
      <v>8630.0681999999997</v>
    </nc>
  </rcc>
  <rcc rId="5242" sId="1">
    <oc r="D472" t="inlineStr">
      <is>
        <t>06004 L5760</t>
      </is>
    </oc>
    <nc r="D472" t="inlineStr">
      <is>
        <t>06040 L5760</t>
      </is>
    </nc>
  </rcc>
  <rcc rId="5243" sId="1">
    <oc r="D471" t="inlineStr">
      <is>
        <t>06004 L5760</t>
      </is>
    </oc>
    <nc r="D471" t="inlineStr">
      <is>
        <t>06040 L5760</t>
      </is>
    </nc>
  </rcc>
  <rcc rId="5244" sId="1">
    <oc r="D470" t="inlineStr">
      <is>
        <t>06004 00000</t>
      </is>
    </oc>
    <nc r="D470" t="inlineStr">
      <is>
        <t>06040 00000</t>
      </is>
    </nc>
  </rcc>
  <rcc rId="5245" sId="1">
    <oc r="A470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470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функцион.структура!$A$5:$F$554</formula>
    <oldFormula>функцион.структура!$A$5:$F$554</oldFormula>
  </rdn>
  <rdn rId="0" localSheetId="1" customView="1" name="Z_629918FE_B1DF_464A_BF50_03D18729BC02_.wvu.FilterData" hidden="1" oldHidden="1">
    <formula>функцион.структура!$A$17:$F$561</formula>
    <oldFormula>функцион.структура!$A$17:$F$561</oldFormula>
  </rdn>
  <rcv guid="{629918FE-B1DF-464A-BF50-03D18729BC02}" action="add"/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48" sId="1" ref="A504:XFD508" action="insertRow"/>
  <rcc rId="5249" sId="1" odxf="1" dxf="1">
    <nc r="A50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504" start="0" length="0">
    <dxf>
      <fill>
        <patternFill patternType="none">
          <bgColor indexed="65"/>
        </patternFill>
      </fill>
    </dxf>
  </rfmt>
  <rfmt sheetId="1" sqref="C504" start="0" length="0">
    <dxf>
      <fill>
        <patternFill patternType="none">
          <bgColor indexed="65"/>
        </patternFill>
      </fill>
    </dxf>
  </rfmt>
  <rcc rId="5250" sId="1" odxf="1" dxf="1">
    <nc r="D50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04" start="0" length="0">
    <dxf>
      <fill>
        <patternFill patternType="none">
          <bgColor indexed="65"/>
        </patternFill>
      </fill>
    </dxf>
  </rfmt>
  <rcc rId="5251" sId="1" odxf="1" dxf="1">
    <nc r="F504">
      <f>F505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504" start="0" length="0">
    <dxf>
      <font>
        <i/>
        <name val="Times New Roman CYR"/>
        <family val="1"/>
      </font>
    </dxf>
  </rfmt>
  <rfmt sheetId="1" sqref="H504" start="0" length="0">
    <dxf>
      <font>
        <i/>
        <name val="Times New Roman CYR"/>
        <family val="1"/>
      </font>
    </dxf>
  </rfmt>
  <rfmt sheetId="1" sqref="I504" start="0" length="0">
    <dxf>
      <font>
        <i/>
        <name val="Times New Roman CYR"/>
        <family val="1"/>
      </font>
    </dxf>
  </rfmt>
  <rfmt sheetId="1" sqref="J504" start="0" length="0">
    <dxf>
      <font>
        <i/>
        <name val="Times New Roman CYR"/>
        <family val="1"/>
      </font>
    </dxf>
  </rfmt>
  <rfmt sheetId="1" sqref="K504" start="0" length="0">
    <dxf>
      <font>
        <i/>
        <name val="Times New Roman CYR"/>
        <family val="1"/>
      </font>
    </dxf>
  </rfmt>
  <rfmt sheetId="1" sqref="L504" start="0" length="0">
    <dxf>
      <font>
        <i/>
        <name val="Times New Roman CYR"/>
        <family val="1"/>
      </font>
    </dxf>
  </rfmt>
  <rfmt sheetId="1" sqref="M504" start="0" length="0">
    <dxf>
      <font>
        <i/>
        <name val="Times New Roman CYR"/>
        <family val="1"/>
      </font>
    </dxf>
  </rfmt>
  <rfmt sheetId="1" sqref="N504" start="0" length="0">
    <dxf>
      <font>
        <i/>
        <name val="Times New Roman CYR"/>
        <family val="1"/>
      </font>
    </dxf>
  </rfmt>
  <rfmt sheetId="1" sqref="O504" start="0" length="0">
    <dxf>
      <font>
        <i/>
        <name val="Times New Roman CYR"/>
        <family val="1"/>
      </font>
    </dxf>
  </rfmt>
  <rfmt sheetId="1" sqref="P504" start="0" length="0">
    <dxf>
      <font>
        <i/>
        <name val="Times New Roman CYR"/>
        <family val="1"/>
      </font>
    </dxf>
  </rfmt>
  <rfmt sheetId="1" sqref="Q504" start="0" length="0">
    <dxf>
      <font>
        <i/>
        <name val="Times New Roman CYR"/>
        <family val="1"/>
      </font>
    </dxf>
  </rfmt>
  <rfmt sheetId="1" sqref="A504:XFD504" start="0" length="0">
    <dxf>
      <font>
        <i/>
        <name val="Times New Roman CYR"/>
        <family val="1"/>
      </font>
    </dxf>
  </rfmt>
  <rcc rId="5252" sId="1" odxf="1" dxf="1">
    <nc r="A50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3" sId="1" odxf="1" dxf="1">
    <nc r="D505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505" start="0" length="0">
    <dxf>
      <font>
        <i/>
        <name val="Times New Roman CYR"/>
        <family val="1"/>
      </font>
    </dxf>
  </rfmt>
  <rfmt sheetId="1" sqref="H505" start="0" length="0">
    <dxf>
      <font>
        <i/>
        <name val="Times New Roman CYR"/>
        <family val="1"/>
      </font>
    </dxf>
  </rfmt>
  <rfmt sheetId="1" sqref="I505" start="0" length="0">
    <dxf>
      <font>
        <i/>
        <name val="Times New Roman CYR"/>
        <family val="1"/>
      </font>
    </dxf>
  </rfmt>
  <rfmt sheetId="1" sqref="J505" start="0" length="0">
    <dxf>
      <font>
        <i/>
        <name val="Times New Roman CYR"/>
        <family val="1"/>
      </font>
    </dxf>
  </rfmt>
  <rfmt sheetId="1" sqref="K505" start="0" length="0">
    <dxf>
      <font>
        <i/>
        <name val="Times New Roman CYR"/>
        <family val="1"/>
      </font>
    </dxf>
  </rfmt>
  <rfmt sheetId="1" sqref="L505" start="0" length="0">
    <dxf>
      <font>
        <i/>
        <name val="Times New Roman CYR"/>
        <family val="1"/>
      </font>
    </dxf>
  </rfmt>
  <rfmt sheetId="1" sqref="M505" start="0" length="0">
    <dxf>
      <font>
        <i/>
        <name val="Times New Roman CYR"/>
        <family val="1"/>
      </font>
    </dxf>
  </rfmt>
  <rfmt sheetId="1" sqref="N505" start="0" length="0">
    <dxf>
      <font>
        <i/>
        <name val="Times New Roman CYR"/>
        <family val="1"/>
      </font>
    </dxf>
  </rfmt>
  <rfmt sheetId="1" sqref="O505" start="0" length="0">
    <dxf>
      <font>
        <i/>
        <name val="Times New Roman CYR"/>
        <family val="1"/>
      </font>
    </dxf>
  </rfmt>
  <rfmt sheetId="1" sqref="P505" start="0" length="0">
    <dxf>
      <font>
        <i/>
        <name val="Times New Roman CYR"/>
        <family val="1"/>
      </font>
    </dxf>
  </rfmt>
  <rfmt sheetId="1" sqref="Q505" start="0" length="0">
    <dxf>
      <font>
        <i/>
        <name val="Times New Roman CYR"/>
        <family val="1"/>
      </font>
    </dxf>
  </rfmt>
  <rfmt sheetId="1" sqref="A505:XFD505" start="0" length="0">
    <dxf>
      <font>
        <i/>
        <name val="Times New Roman CYR"/>
        <family val="1"/>
      </font>
    </dxf>
  </rfmt>
  <rfmt sheetId="1" sqref="A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4" sId="1" odxf="1" dxf="1">
    <nc r="F506">
      <f>F507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506" start="0" length="0">
    <dxf>
      <font>
        <i/>
        <name val="Times New Roman CYR"/>
        <family val="1"/>
      </font>
    </dxf>
  </rfmt>
  <rfmt sheetId="1" sqref="H506" start="0" length="0">
    <dxf>
      <font>
        <i/>
        <name val="Times New Roman CYR"/>
        <family val="1"/>
      </font>
    </dxf>
  </rfmt>
  <rfmt sheetId="1" sqref="I506" start="0" length="0">
    <dxf>
      <font>
        <i/>
        <name val="Times New Roman CYR"/>
        <family val="1"/>
      </font>
    </dxf>
  </rfmt>
  <rfmt sheetId="1" sqref="J506" start="0" length="0">
    <dxf>
      <font>
        <i/>
        <name val="Times New Roman CYR"/>
        <family val="1"/>
      </font>
    </dxf>
  </rfmt>
  <rfmt sheetId="1" sqref="K506" start="0" length="0">
    <dxf>
      <font>
        <i/>
        <name val="Times New Roman CYR"/>
        <family val="1"/>
      </font>
    </dxf>
  </rfmt>
  <rfmt sheetId="1" sqref="L506" start="0" length="0">
    <dxf>
      <font>
        <i/>
        <name val="Times New Roman CYR"/>
        <family val="1"/>
      </font>
    </dxf>
  </rfmt>
  <rfmt sheetId="1" sqref="M506" start="0" length="0">
    <dxf>
      <font>
        <i/>
        <name val="Times New Roman CYR"/>
        <family val="1"/>
      </font>
    </dxf>
  </rfmt>
  <rfmt sheetId="1" sqref="N506" start="0" length="0">
    <dxf>
      <font>
        <i/>
        <name val="Times New Roman CYR"/>
        <family val="1"/>
      </font>
    </dxf>
  </rfmt>
  <rfmt sheetId="1" sqref="O506" start="0" length="0">
    <dxf>
      <font>
        <i/>
        <name val="Times New Roman CYR"/>
        <family val="1"/>
      </font>
    </dxf>
  </rfmt>
  <rfmt sheetId="1" sqref="P506" start="0" length="0">
    <dxf>
      <font>
        <i/>
        <name val="Times New Roman CYR"/>
        <family val="1"/>
      </font>
    </dxf>
  </rfmt>
  <rfmt sheetId="1" sqref="Q506" start="0" length="0">
    <dxf>
      <font>
        <i/>
        <name val="Times New Roman CYR"/>
        <family val="1"/>
      </font>
    </dxf>
  </rfmt>
  <rfmt sheetId="1" sqref="A506:XFD506" start="0" length="0">
    <dxf>
      <font>
        <i/>
        <name val="Times New Roman CYR"/>
        <family val="1"/>
      </font>
    </dxf>
  </rfmt>
  <rcc rId="5255" sId="1" odxf="1" dxf="1">
    <nc r="A507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6" sId="1" odxf="1" dxf="1">
    <nc r="F507">
      <f>SUM(F508:F508)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507" start="0" length="0">
    <dxf>
      <font>
        <i/>
        <name val="Times New Roman CYR"/>
        <family val="1"/>
      </font>
    </dxf>
  </rfmt>
  <rfmt sheetId="1" sqref="H507" start="0" length="0">
    <dxf>
      <font>
        <i/>
        <name val="Times New Roman CYR"/>
        <family val="1"/>
      </font>
    </dxf>
  </rfmt>
  <rfmt sheetId="1" sqref="I507" start="0" length="0">
    <dxf>
      <font>
        <i/>
        <name val="Times New Roman CYR"/>
        <family val="1"/>
      </font>
    </dxf>
  </rfmt>
  <rfmt sheetId="1" sqref="J507" start="0" length="0">
    <dxf>
      <font>
        <i/>
        <name val="Times New Roman CYR"/>
        <family val="1"/>
      </font>
    </dxf>
  </rfmt>
  <rfmt sheetId="1" sqref="K507" start="0" length="0">
    <dxf>
      <font>
        <i/>
        <name val="Times New Roman CYR"/>
        <family val="1"/>
      </font>
    </dxf>
  </rfmt>
  <rfmt sheetId="1" sqref="L507" start="0" length="0">
    <dxf>
      <font>
        <i/>
        <name val="Times New Roman CYR"/>
        <family val="1"/>
      </font>
    </dxf>
  </rfmt>
  <rfmt sheetId="1" sqref="M507" start="0" length="0">
    <dxf>
      <font>
        <i/>
        <name val="Times New Roman CYR"/>
        <family val="1"/>
      </font>
    </dxf>
  </rfmt>
  <rfmt sheetId="1" sqref="N507" start="0" length="0">
    <dxf>
      <font>
        <i/>
        <name val="Times New Roman CYR"/>
        <family val="1"/>
      </font>
    </dxf>
  </rfmt>
  <rfmt sheetId="1" sqref="O507" start="0" length="0">
    <dxf>
      <font>
        <i/>
        <name val="Times New Roman CYR"/>
        <family val="1"/>
      </font>
    </dxf>
  </rfmt>
  <rfmt sheetId="1" sqref="P507" start="0" length="0">
    <dxf>
      <font>
        <i/>
        <name val="Times New Roman CYR"/>
        <family val="1"/>
      </font>
    </dxf>
  </rfmt>
  <rfmt sheetId="1" sqref="Q507" start="0" length="0">
    <dxf>
      <font>
        <i/>
        <name val="Times New Roman CYR"/>
        <family val="1"/>
      </font>
    </dxf>
  </rfmt>
  <rfmt sheetId="1" sqref="A507:XFD507" start="0" length="0">
    <dxf>
      <font>
        <i/>
        <name val="Times New Roman CYR"/>
        <family val="1"/>
      </font>
    </dxf>
  </rfmt>
  <rcc rId="5257" sId="1" odxf="1" dxf="1">
    <nc r="A50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258" sId="1" odxf="1" dxf="1">
    <nc r="E508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508" start="0" length="0">
    <dxf>
      <font>
        <i/>
        <name val="Times New Roman CYR"/>
        <family val="1"/>
      </font>
    </dxf>
  </rfmt>
  <rfmt sheetId="1" sqref="H508" start="0" length="0">
    <dxf>
      <font>
        <i/>
        <name val="Times New Roman CYR"/>
        <family val="1"/>
      </font>
    </dxf>
  </rfmt>
  <rfmt sheetId="1" sqref="I508" start="0" length="0">
    <dxf>
      <font>
        <i/>
        <name val="Times New Roman CYR"/>
        <family val="1"/>
      </font>
    </dxf>
  </rfmt>
  <rfmt sheetId="1" sqref="J508" start="0" length="0">
    <dxf>
      <font>
        <i/>
        <name val="Times New Roman CYR"/>
        <family val="1"/>
      </font>
    </dxf>
  </rfmt>
  <rfmt sheetId="1" sqref="K508" start="0" length="0">
    <dxf>
      <font>
        <i/>
        <name val="Times New Roman CYR"/>
        <family val="1"/>
      </font>
    </dxf>
  </rfmt>
  <rfmt sheetId="1" sqref="L508" start="0" length="0">
    <dxf>
      <font>
        <i/>
        <name val="Times New Roman CYR"/>
        <family val="1"/>
      </font>
    </dxf>
  </rfmt>
  <rfmt sheetId="1" sqref="M508" start="0" length="0">
    <dxf>
      <font>
        <i/>
        <name val="Times New Roman CYR"/>
        <family val="1"/>
      </font>
    </dxf>
  </rfmt>
  <rfmt sheetId="1" sqref="N508" start="0" length="0">
    <dxf>
      <font>
        <i/>
        <name val="Times New Roman CYR"/>
        <family val="1"/>
      </font>
    </dxf>
  </rfmt>
  <rfmt sheetId="1" sqref="O508" start="0" length="0">
    <dxf>
      <font>
        <i/>
        <name val="Times New Roman CYR"/>
        <family val="1"/>
      </font>
    </dxf>
  </rfmt>
  <rfmt sheetId="1" sqref="P508" start="0" length="0">
    <dxf>
      <font>
        <i/>
        <name val="Times New Roman CYR"/>
        <family val="1"/>
      </font>
    </dxf>
  </rfmt>
  <rfmt sheetId="1" sqref="Q508" start="0" length="0">
    <dxf>
      <font>
        <i/>
        <name val="Times New Roman CYR"/>
        <family val="1"/>
      </font>
    </dxf>
  </rfmt>
  <rfmt sheetId="1" sqref="A508:XFD508" start="0" length="0">
    <dxf>
      <font>
        <i/>
        <name val="Times New Roman CYR"/>
        <family val="1"/>
      </font>
    </dxf>
  </rfmt>
  <rcc rId="5259" sId="1">
    <nc r="B504" t="inlineStr">
      <is>
        <t>11</t>
      </is>
    </nc>
  </rcc>
  <rcc rId="5260" sId="1">
    <nc r="C504" t="inlineStr">
      <is>
        <t>02</t>
      </is>
    </nc>
  </rcc>
  <rcc rId="5261" sId="1">
    <nc r="B505" t="inlineStr">
      <is>
        <t>11</t>
      </is>
    </nc>
  </rcc>
  <rcc rId="5262" sId="1">
    <nc r="C505" t="inlineStr">
      <is>
        <t>02</t>
      </is>
    </nc>
  </rcc>
  <rcc rId="5263" sId="1">
    <nc r="B506" t="inlineStr">
      <is>
        <t>11</t>
      </is>
    </nc>
  </rcc>
  <rcc rId="5264" sId="1">
    <nc r="C506" t="inlineStr">
      <is>
        <t>02</t>
      </is>
    </nc>
  </rcc>
  <rcc rId="5265" sId="1">
    <nc r="B507" t="inlineStr">
      <is>
        <t>11</t>
      </is>
    </nc>
  </rcc>
  <rcc rId="5266" sId="1">
    <nc r="C507" t="inlineStr">
      <is>
        <t>02</t>
      </is>
    </nc>
  </rcc>
  <rcc rId="5267" sId="1">
    <nc r="B508" t="inlineStr">
      <is>
        <t>11</t>
      </is>
    </nc>
  </rcc>
  <rcc rId="5268" sId="1">
    <nc r="C508" t="inlineStr">
      <is>
        <t>02</t>
      </is>
    </nc>
  </rcc>
  <rcc rId="5269" sId="1">
    <nc r="D508" t="inlineStr">
      <is>
        <t>06035 L5760</t>
      </is>
    </nc>
  </rcc>
  <rcc rId="5270" sId="1">
    <nc r="D507" t="inlineStr">
      <is>
        <t>06035 L5760</t>
      </is>
    </nc>
  </rcc>
  <rcc rId="5271" sId="1">
    <nc r="D506" t="inlineStr">
      <is>
        <t>06035 00000</t>
      </is>
    </nc>
  </rcc>
  <rcc rId="5272" sId="1" numFmtId="4">
    <nc r="F508">
      <v>111383.15</v>
    </nc>
  </rcc>
  <rcc rId="5273" sId="1" xfDxf="1" dxf="1">
    <nc r="A50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4" sId="1" numFmtId="4">
    <oc r="F513">
      <v>500</v>
    </oc>
    <nc r="F513">
      <v>1250</v>
    </nc>
  </rcc>
  <rrc rId="5275" sId="1" ref="A519:XFD519" action="deleteRow">
    <undo index="65535" exp="ref" v="1" dr="F519" r="F503" sId="1"/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9">
        <f>F520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76" sId="1" ref="A519:XFD519" action="deleteRow"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Обеспечение комплексного развития сельских территорий</t>
        </is>
      </nc>
      <ndxf>
        <font>
          <i/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9">
        <f>F520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77" sId="1" ref="A519:XFD519" action="deleteRow"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9">
        <f>7336.3+149.68+556.2+103341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519">
        <v>7486</v>
      </nc>
    </rcc>
  </rrc>
  <rfmt sheetId="1" sqref="A515">
    <dxf>
      <fill>
        <patternFill>
          <bgColor theme="0"/>
        </patternFill>
      </fill>
    </dxf>
  </rfmt>
  <rcc rId="5278" sId="1">
    <oc r="F503">
      <f>F509+F519</f>
    </oc>
    <nc r="F503">
      <f>F509+F504</f>
    </nc>
  </rcc>
  <rcc rId="5279" sId="1" numFmtId="4">
    <oc r="F537">
      <v>13.8</v>
    </oc>
    <nc r="F537">
      <v>31.8</v>
    </nc>
  </rcc>
  <rcc rId="5280" sId="1" numFmtId="4">
    <oc r="F538">
      <v>210</v>
    </oc>
    <nc r="F538">
      <v>189.95918</v>
    </nc>
  </rcc>
  <rcc rId="5281" sId="1">
    <oc r="G555">
      <v>106.2</v>
    </oc>
    <nc r="G555"/>
  </rcc>
  <rcc rId="5282" sId="1">
    <oc r="G556">
      <f>SUM(G16:G555)</f>
    </oc>
    <nc r="G556"/>
  </rcc>
  <rcc rId="5283" sId="1">
    <oc r="H556">
      <v>1500868.3</v>
    </oc>
    <nc r="H556"/>
  </rcc>
  <rcc rId="5284" sId="1">
    <oc r="I556">
      <f>H556-G556</f>
    </oc>
    <nc r="I556"/>
  </rcc>
  <rcc rId="5285" sId="1">
    <oc r="G558">
      <f>F556-F497-F492-F487-F476-F474-F443-F263-F245-F230-F178-F176-F173-F171-F168-F166-F129-F124-F119-F114-F65-F52-F27-F117</f>
    </oc>
    <nc r="G558"/>
  </rcc>
  <rcc rId="5286" sId="1">
    <oc r="F560">
      <f>1500868.3+190658.5+196572.19+2729.8+3100-24660.8</f>
    </oc>
    <nc r="F560"/>
  </rcc>
  <rcc rId="5287" sId="1">
    <oc r="F562">
      <f>F556-F560</f>
    </oc>
    <nc r="F562"/>
  </rcc>
  <rcc rId="5288" sId="1">
    <oc r="F563">
      <f>196572.19+1205556-5960.8+84+2336.9+308.9</f>
    </oc>
    <nc r="F563"/>
  </rcc>
  <rcc rId="5289" sId="1">
    <oc r="F564">
      <f>F556-F563</f>
    </oc>
    <nc r="F564"/>
  </rcc>
  <rcc rId="5290" sId="1" numFmtId="4">
    <oc r="F566">
      <v>1881446.32439</v>
    </oc>
    <nc r="F566"/>
  </rcc>
  <rcc rId="5291" sId="1">
    <oc r="F568">
      <f>F556-F566</f>
    </oc>
    <nc r="F568"/>
  </rcc>
  <rcc rId="5292" sId="1" numFmtId="4">
    <nc r="F559">
      <v>2352224.9559999998</v>
    </nc>
  </rcc>
  <rcc rId="5293" sId="1">
    <nc r="F561">
      <f>F556-F559</f>
    </nc>
  </rcc>
  <rcc rId="5294" sId="1">
    <nc r="F505">
      <f>F506</f>
    </nc>
  </rcc>
  <rcc rId="5295" sId="1" numFmtId="4">
    <oc r="F343">
      <v>20278.02</v>
    </oc>
    <nc r="F343"/>
  </rcc>
  <rcc rId="5296" sId="1">
    <oc r="F345">
      <f>38171.1+779+44045.8+898.93+195.7+327.8</f>
    </oc>
    <nc r="F345"/>
  </rcc>
  <rrc rId="5297" sId="1" ref="A341:XFD341" action="deleteRow">
    <undo index="65535" exp="ref" v="1" dr="F341" r="F310" sId="1"/>
    <rfmt sheetId="1" xfDxf="1" sqref="A341:XFD34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41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F342+F344</f>
      </nc>
      <ndxf>
        <font>
          <b/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8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9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341">
        <v>20278</v>
      </nc>
    </rcc>
  </rrc>
  <rrc rId="5300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301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L5760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341">
        <v>83894.9</v>
      </nc>
    </rcc>
  </rrc>
  <rcc rId="5302" sId="1">
    <oc r="F310">
      <f>F321+F328+#REF!+F311</f>
    </oc>
    <nc r="F310">
      <f>F321+F328+F311</f>
    </nc>
  </rcc>
  <rcc rId="5303" sId="1">
    <oc r="F233">
      <f>F244+F240</f>
    </oc>
    <nc r="F233">
      <f>F244+F240+F234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функцион.структура!$A$5:$F$551</formula>
    <oldFormula>функцион.структура!$A$5:$F$551</oldFormula>
  </rdn>
  <rdn rId="0" localSheetId="1" customView="1" name="Z_629918FE_B1DF_464A_BF50_03D18729BC02_.wvu.FilterData" hidden="1" oldHidden="1">
    <formula>функцион.структура!$A$17:$F$558</formula>
    <oldFormula>функцион.структура!$A$17:$F$558</oldFormula>
  </rdn>
  <rcv guid="{629918FE-B1DF-464A-BF50-03D18729BC02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3">
    <dxf>
      <fill>
        <patternFill>
          <bgColor rgb="FFFFFF00"/>
        </patternFill>
      </fill>
    </dxf>
  </rfmt>
  <rfmt sheetId="1" sqref="F303">
    <dxf>
      <fill>
        <patternFill>
          <bgColor theme="0"/>
        </patternFill>
      </fill>
    </dxf>
  </rfmt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06" sId="1" numFmtId="4">
    <oc r="F135">
      <v>6994.5320099999999</v>
    </oc>
    <nc r="F135">
      <v>6994.51685</v>
    </nc>
  </rcc>
  <rcc rId="5307" sId="1">
    <oc r="F253">
      <f>14836.15464+302.77866+15.13893</f>
    </oc>
    <nc r="F253">
      <f>14836.15464+302.77866+15.13893+0.01516</f>
    </nc>
  </rcc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08" sId="1">
    <oc r="E467" t="inlineStr">
      <is>
        <t>322</t>
      </is>
    </oc>
    <nc r="E467" t="inlineStr">
      <is>
        <t>244</t>
      </is>
    </nc>
  </rcc>
  <rcc rId="5309" sId="1" odxf="1" dxf="1">
    <oc r="A467" t="inlineStr">
      <is>
        <t>Субсидии гражданам на приобретение жилья</t>
      </is>
    </oc>
    <nc r="A467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D467" start="0" length="2147483647">
    <dxf>
      <font>
        <i val="0"/>
      </font>
    </dxf>
  </rfmt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10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" start="0" length="0">
      <dxf>
        <font>
          <name val="Times New Roman"/>
          <family val="1"/>
        </font>
        <alignment horizontal="right" wrapText="0"/>
      </dxf>
    </rfmt>
    <rfmt sheetId="1" sqref="G2" start="0" length="0">
      <dxf>
        <font>
          <name val="Times New Roman"/>
          <family val="1"/>
        </font>
        <alignment horizontal="right" wrapText="0"/>
      </dxf>
    </rfmt>
    <rfmt sheetId="1" sqref="G3" start="0" length="0">
      <dxf>
        <font>
          <name val="Times New Roman"/>
          <family val="1"/>
        </font>
        <alignment horizontal="right" wrapText="0"/>
      </dxf>
    </rfmt>
    <rfmt sheetId="1" sqref="G4" start="0" length="0">
      <dxf>
        <font>
          <name val="Times New Roman"/>
          <family val="1"/>
        </font>
        <alignment horizontal="right" wrapText="0"/>
      </dxf>
    </rfmt>
    <rcc rId="0" sId="1">
      <nc r="G53">
        <v>22.1</v>
      </nc>
    </rcc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b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1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4" start="0" length="0">
      <dxf>
        <font>
          <i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4" start="0" length="0">
      <dxf>
        <font>
          <b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8" start="0" length="0">
      <dxf>
        <font>
          <i/>
          <name val="Times New Roman CYR"/>
          <family val="1"/>
        </font>
      </dxf>
    </rfmt>
    <rcc rId="0" sId="1">
      <nc r="G79">
        <v>208</v>
      </nc>
    </rcc>
    <rfmt sheetId="1" sqref="G80" start="0" length="0">
      <dxf>
        <font>
          <b/>
          <name val="Times New Roman CYR"/>
          <family val="1"/>
        </font>
      </dxf>
    </rfmt>
    <rcc rId="0" sId="1">
      <nc r="G118">
        <v>500</v>
      </nc>
    </rcc>
    <rcc rId="0" sId="1">
      <nc r="G119">
        <v>616.29999999999995</v>
      </nc>
    </rcc>
    <rcc rId="0" sId="1">
      <nc r="G124">
        <v>730.6</v>
      </nc>
    </rcc>
    <rfmt sheetId="1" sqref="G126" start="0" length="0">
      <dxf>
        <font>
          <i/>
          <name val="Times New Roman CYR"/>
          <family val="1"/>
        </font>
      </dxf>
    </rfmt>
    <rcc rId="0" sId="1">
      <nc r="G129">
        <v>474.9</v>
      </nc>
    </rcc>
    <rfmt sheetId="1" sqref="G134" start="0" length="0">
      <dxf>
        <font>
          <i/>
          <name val="Times New Roman CYR"/>
          <family val="1"/>
        </font>
      </dxf>
    </rfmt>
    <rfmt sheetId="1" sqref="G136" start="0" length="0">
      <dxf>
        <font>
          <i/>
          <name val="Times New Roman CYR"/>
          <family val="1"/>
        </font>
      </dxf>
    </rfmt>
    <rfmt sheetId="1" sqref="G161" start="0" length="0">
      <dxf>
        <font>
          <i/>
          <name val="Times New Roman CYR"/>
          <family val="1"/>
        </font>
      </dxf>
    </rfmt>
    <rfmt sheetId="1" sqref="G162" start="0" length="0">
      <dxf>
        <font>
          <i/>
          <name val="Times New Roman CYR"/>
          <family val="1"/>
        </font>
      </dxf>
    </rfmt>
    <rfmt sheetId="1" sqref="G163" start="0" length="0">
      <dxf>
        <font>
          <i/>
          <name val="Times New Roman CYR"/>
          <family val="1"/>
        </font>
      </dxf>
    </rfmt>
    <rfmt sheetId="1" sqref="G164" start="0" length="0">
      <dxf>
        <font>
          <i/>
          <name val="Times New Roman CYR"/>
          <family val="1"/>
        </font>
      </dxf>
    </rfmt>
    <rfmt sheetId="1" sqref="G165" start="0" length="0">
      <dxf>
        <font>
          <i/>
          <name val="Times New Roman CYR"/>
          <family val="1"/>
        </font>
      </dxf>
    </rfmt>
    <rcc rId="0" sId="1">
      <nc r="G167">
        <v>311</v>
      </nc>
    </rcc>
    <rcc rId="0" sId="1">
      <nc r="G168">
        <v>1.7</v>
      </nc>
    </rcc>
    <rcc rId="0" sId="1">
      <nc r="G171">
        <v>146.69999999999999</v>
      </nc>
    </rcc>
    <rcc rId="0" sId="1" dxf="1">
      <nc r="G173">
        <v>60.7</v>
      </nc>
      <ndxf>
        <font>
          <i/>
          <name val="Times New Roman CYR"/>
          <family val="1"/>
        </font>
      </ndxf>
    </rcc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cc rId="0" sId="1" dxf="1">
      <nc r="G176">
        <v>4047.7</v>
      </nc>
      <ndxf>
        <font>
          <i/>
          <name val="Times New Roman CYR"/>
          <family val="1"/>
        </font>
      </ndxf>
    </rcc>
    <rfmt sheetId="1" sqref="G177" start="0" length="0">
      <dxf>
        <font>
          <i/>
          <name val="Times New Roman CYR"/>
          <family val="1"/>
        </font>
      </dxf>
    </rfmt>
    <rcc rId="0" sId="1">
      <nc r="G178">
        <v>22</v>
      </nc>
    </rcc>
    <rcc rId="0" sId="1" dxf="1" numFmtId="4">
      <nc r="G192">
        <v>15894.1</v>
      </nc>
      <ndxf>
        <numFmt numFmtId="165" formatCode="0.00000"/>
      </ndxf>
    </rcc>
    <rfmt sheetId="1" sqref="G196" start="0" length="0">
      <dxf>
        <font>
          <b/>
          <i/>
          <name val="Times New Roman CYR"/>
          <family val="1"/>
        </font>
      </dxf>
    </rfmt>
    <rfmt sheetId="1" sqref="G197" start="0" length="0">
      <dxf>
        <font>
          <b/>
          <i/>
          <name val="Times New Roman CYR"/>
          <family val="1"/>
        </font>
      </dxf>
    </rfmt>
    <rfmt sheetId="1" sqref="G198" start="0" length="0">
      <dxf>
        <font>
          <b/>
          <i/>
          <name val="Times New Roman CYR"/>
          <family val="1"/>
        </font>
      </dxf>
    </rfmt>
    <rfmt sheetId="1" sqref="G199" start="0" length="0">
      <dxf>
        <font>
          <b/>
          <i/>
          <name val="Times New Roman CYR"/>
          <family val="1"/>
        </font>
      </dxf>
    </rfmt>
    <rfmt sheetId="1" sqref="G200" start="0" length="0">
      <dxf>
        <numFmt numFmtId="165" formatCode="0.00000"/>
      </dxf>
    </rfmt>
    <rcc rId="0" sId="1">
      <nc r="G201">
        <v>100713.9</v>
      </nc>
    </rcc>
    <rcc rId="0" sId="1">
      <nc r="G203">
        <v>374.3</v>
      </nc>
    </rcc>
    <rcc rId="0" sId="1">
      <nc r="G209">
        <v>200</v>
      </nc>
    </rcc>
    <rcc rId="0" sId="1">
      <nc r="G211">
        <v>367.6</v>
      </nc>
    </rcc>
    <rfmt sheetId="1" sqref="G218" start="0" length="0">
      <dxf>
        <font>
          <i/>
          <name val="Times New Roman CYR"/>
          <family val="1"/>
        </font>
      </dxf>
    </rfmt>
    <rfmt sheetId="1" sqref="G220" start="0" length="0">
      <dxf>
        <font>
          <i/>
          <name val="Times New Roman CYR"/>
          <family val="1"/>
        </font>
      </dxf>
    </rfmt>
    <rcc rId="0" sId="1">
      <nc r="G224">
        <v>400</v>
      </nc>
    </rcc>
    <rfmt sheetId="1" sqref="G229" start="0" length="0">
      <dxf>
        <font>
          <i/>
          <name val="Times New Roman CYR"/>
          <family val="1"/>
        </font>
      </dxf>
    </rfmt>
    <rcc rId="0" sId="1">
      <nc r="G231">
        <v>3.2</v>
      </nc>
    </rcc>
    <rfmt sheetId="1" sqref="G232" start="0" length="0">
      <dxf>
        <font>
          <i/>
          <name val="Times New Roman CYR"/>
          <family val="1"/>
        </font>
      </dxf>
    </rfmt>
    <rfmt sheetId="1" sqref="G234" start="0" length="0">
      <dxf>
        <font>
          <i/>
          <name val="Times New Roman CYR"/>
          <family val="1"/>
        </font>
      </dxf>
    </rfmt>
    <rfmt sheetId="1" sqref="G235" start="0" length="0">
      <dxf>
        <font>
          <i/>
          <name val="Times New Roman CYR"/>
          <family val="1"/>
        </font>
      </dxf>
    </rfmt>
    <rfmt sheetId="1" sqref="G236" start="0" length="0">
      <dxf>
        <font>
          <i/>
          <name val="Times New Roman CYR"/>
          <family val="1"/>
        </font>
      </dxf>
    </rfmt>
    <rfmt sheetId="1" sqref="G237" start="0" length="0">
      <dxf>
        <font>
          <i/>
          <name val="Times New Roman CYR"/>
          <family val="1"/>
        </font>
      </dxf>
    </rfmt>
    <rfmt sheetId="1" sqref="G238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cc rId="0" sId="1" dxf="1">
      <nc r="G246">
        <v>13510</v>
      </nc>
      <ndxf>
        <font>
          <i/>
          <name val="Times New Roman CYR"/>
          <family val="1"/>
        </font>
      </ndxf>
    </rcc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cc rId="0" sId="1">
      <nc r="G253">
        <v>15138.9</v>
      </nc>
    </rcc>
    <rcc rId="0" sId="1">
      <nc r="G262">
        <v>85000</v>
      </nc>
    </rcc>
    <rcc rId="0" sId="1">
      <nc r="G264">
        <v>30075.599999999999</v>
      </nc>
    </rcc>
    <rfmt sheetId="1" sqref="G268" start="0" length="0">
      <dxf>
        <font>
          <i/>
          <name val="Times New Roman CYR"/>
          <family val="1"/>
        </font>
      </dxf>
    </rfmt>
    <rcc rId="0" sId="1">
      <nc r="G271">
        <v>124184.7</v>
      </nc>
    </rcc>
    <rcc rId="0" sId="1">
      <nc r="G273">
        <v>563</v>
      </nc>
    </rcc>
    <rcc rId="0" sId="1">
      <nc r="G277">
        <v>71577</v>
      </nc>
    </rcc>
    <rfmt sheetId="1" sqref="G282" start="0" length="0">
      <dxf>
        <font>
          <i/>
          <name val="Times New Roman CYR"/>
          <family val="1"/>
        </font>
      </dxf>
    </rfmt>
    <rcc rId="0" sId="1">
      <nc r="G283">
        <v>31012</v>
      </nc>
    </rcc>
    <rcc rId="0" sId="1">
      <nc r="G285">
        <v>256485.6</v>
      </nc>
    </rcc>
    <rfmt sheetId="1" sqref="G286" start="0" length="0">
      <dxf>
        <font>
          <i/>
          <name val="Times New Roman CYR"/>
          <family val="1"/>
        </font>
      </dxf>
    </rfmt>
    <rcc rId="0" sId="1" dxf="1">
      <nc r="G287">
        <v>5813</v>
      </nc>
      <ndxf>
        <font>
          <i/>
          <name val="Times New Roman CYR"/>
          <family val="1"/>
        </font>
      </ndxf>
    </rcc>
    <rcc rId="0" sId="1">
      <nc r="G291">
        <v>29257.599999999999</v>
      </nc>
    </rcc>
    <rfmt sheetId="1" sqref="G292" start="0" length="0">
      <dxf>
        <font>
          <i/>
          <name val="Times New Roman CYR"/>
          <family val="1"/>
        </font>
      </dxf>
    </rfmt>
    <rcc rId="0" sId="1" dxf="1">
      <nc r="G293">
        <v>109531.5</v>
      </nc>
      <ndxf>
        <font>
          <i/>
          <name val="Times New Roman CYR"/>
          <family val="1"/>
        </font>
      </ndxf>
    </rcc>
    <rfmt sheetId="1" sqref="G294" start="0" length="0">
      <dxf>
        <font>
          <i/>
          <name val="Times New Roman CYR"/>
          <family val="1"/>
        </font>
      </dxf>
    </rfmt>
    <rcc rId="0" sId="1" dxf="1">
      <nc r="G295">
        <v>12321.9</v>
      </nc>
      <ndxf>
        <font>
          <i/>
          <name val="Times New Roman CYR"/>
          <family val="1"/>
        </font>
      </ndxf>
    </rcc>
    <rfmt sheetId="1" sqref="G296" start="0" length="0">
      <dxf>
        <font>
          <i/>
          <name val="Times New Roman CYR"/>
          <family val="1"/>
        </font>
      </dxf>
    </rfmt>
    <rcc rId="0" sId="1" dxf="1">
      <nc r="G297">
        <v>482.5</v>
      </nc>
      <ndxf>
        <font>
          <i/>
          <name val="Times New Roman CYR"/>
          <family val="1"/>
        </font>
      </ndxf>
    </rcc>
    <rfmt sheetId="1" sqref="G29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cc rId="0" sId="1" dxf="1">
      <nc r="G299">
        <v>4758</v>
      </nc>
      <ndxf>
        <font>
          <i/>
          <name val="Times New Roman CYR"/>
          <family val="1"/>
        </font>
        <fill>
          <patternFill patternType="solid">
            <bgColor rgb="FFFFFF00"/>
          </patternFill>
        </fill>
      </ndxf>
    </rcc>
    <rfmt sheetId="1" sqref="G300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cc rId="0" sId="1" dxf="1">
      <nc r="G305">
        <v>21144.1</v>
      </nc>
      <ndxf>
        <font>
          <i/>
          <name val="Times New Roman CYR"/>
          <family val="1"/>
        </font>
      </ndxf>
    </rcc>
    <rfmt sheetId="1" sqref="G306" start="0" length="0">
      <dxf>
        <font>
          <i/>
          <name val="Times New Roman CYR"/>
          <family val="1"/>
        </font>
      </dxf>
    </rfmt>
    <rcc rId="0" sId="1" dxf="1">
      <nc r="G307">
        <v>8280</v>
      </nc>
      <ndxf>
        <font>
          <i/>
          <name val="Times New Roman CYR"/>
          <family val="1"/>
        </font>
      </ndxf>
    </rcc>
    <rfmt sheetId="1" sqref="G308" start="0" length="0">
      <dxf>
        <font>
          <i/>
          <name val="Times New Roman CYR"/>
          <family val="1"/>
        </font>
      </dxf>
    </rfmt>
    <rcc rId="0" sId="1" dxf="1">
      <nc r="G309">
        <v>2492.1</v>
      </nc>
      <ndxf>
        <font>
          <i/>
          <name val="Times New Roman CYR"/>
          <family val="1"/>
        </font>
      </ndxf>
    </rcc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cc rId="0" sId="1">
      <nc r="G327">
        <v>13857.7</v>
      </nc>
    </rcc>
    <rfmt sheetId="1" sqref="G328" start="0" length="0">
      <dxf>
        <font>
          <i/>
          <name val="Times New Roman CYR"/>
          <family val="1"/>
        </font>
      </dxf>
    </rfmt>
    <rfmt sheetId="1" sqref="G329" start="0" length="0">
      <dxf>
        <font>
          <i/>
          <name val="Times New Roman CYR"/>
          <family val="1"/>
        </font>
      </dxf>
    </rfmt>
    <rfmt sheetId="1" sqref="G330" start="0" length="0">
      <dxf>
        <font>
          <i/>
          <name val="Times New Roman CYR"/>
          <family val="1"/>
        </font>
      </dxf>
    </rfmt>
    <rfmt sheetId="1" sqref="G331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cc rId="0" sId="1" dxf="1">
      <nc r="G335">
        <v>10159.152</v>
      </nc>
      <ndxf>
        <font>
          <i/>
          <name val="Times New Roman CYR"/>
          <family val="1"/>
        </font>
      </ndxf>
    </rcc>
    <rcc rId="0" sId="1" dxf="1">
      <nc r="G336">
        <v>32170.648000000001</v>
      </nc>
      <ndxf>
        <font>
          <i/>
          <name val="Times New Roman CYR"/>
          <family val="1"/>
        </font>
      </ndxf>
    </rcc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4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cc rId="0" sId="1" dxf="1">
      <nc r="G346">
        <v>386</v>
      </nc>
      <ndxf>
        <font>
          <i/>
          <name val="Times New Roman CYR"/>
          <family val="1"/>
        </font>
      </ndxf>
    </rcc>
    <rfmt sheetId="1" sqref="G347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cc rId="0" sId="1">
      <nc r="G352">
        <v>100</v>
      </nc>
    </rcc>
    <rfmt sheetId="1" sqref="G353" start="0" length="0">
      <dxf>
        <font>
          <b/>
          <i/>
          <name val="Times New Roman CYR"/>
          <family val="1"/>
        </font>
      </dxf>
    </rfmt>
    <rfmt sheetId="1" sqref="G354" start="0" length="0">
      <dxf>
        <font>
          <b/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59" start="0" length="0">
      <dxf>
        <font>
          <i/>
          <name val="Times New Roman CYR"/>
          <family val="1"/>
        </font>
      </dxf>
    </rfmt>
    <rfmt sheetId="1" sqref="G360" start="0" length="0">
      <dxf>
        <font>
          <i/>
          <name val="Times New Roman CYR"/>
          <family val="1"/>
        </font>
      </dxf>
    </rfmt>
    <rcc rId="0" sId="1" dxf="1">
      <nc r="G361">
        <v>5352.5</v>
      </nc>
      <ndxf>
        <font>
          <i/>
          <name val="Times New Roman CYR"/>
          <family val="1"/>
        </font>
      </ndxf>
    </rcc>
    <rfmt sheetId="1" sqref="G362" start="0" length="0">
      <dxf>
        <font>
          <i/>
          <name val="Times New Roman CYR"/>
          <family val="1"/>
        </font>
      </dxf>
    </rfmt>
    <rcc rId="0" sId="1" dxf="1">
      <nc r="G363">
        <v>5578</v>
      </nc>
      <ndxf>
        <font>
          <i/>
          <name val="Times New Roman CYR"/>
          <family val="1"/>
        </font>
      </ndxf>
    </rcc>
    <rcc rId="0" sId="1" dxf="1">
      <nc r="G364">
        <v>80.3</v>
      </nc>
      <ndxf>
        <font>
          <i/>
          <name val="Times New Roman CYR"/>
          <family val="1"/>
        </font>
      </ndxf>
    </rcc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cc rId="0" sId="1" dxf="1">
      <nc r="G371">
        <v>83.7</v>
      </nc>
      <ndxf>
        <font>
          <i/>
          <name val="Times New Roman CYR"/>
          <family val="1"/>
        </font>
      </ndxf>
    </rcc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cc rId="0" sId="1" dxf="1">
      <nc r="G376">
        <v>87.2</v>
      </nc>
      <ndxf>
        <font>
          <i/>
          <name val="Times New Roman CYR"/>
          <family val="1"/>
        </font>
      </ndxf>
    </rcc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87" start="0" length="0">
      <dxf>
        <font>
          <i/>
          <name val="Times New Roman CYR"/>
          <family val="1"/>
        </font>
      </dxf>
    </rfmt>
    <rfmt sheetId="1" sqref="G388" start="0" length="0">
      <dxf>
        <font>
          <i/>
          <name val="Times New Roman CYR"/>
          <family val="1"/>
        </font>
      </dxf>
    </rfmt>
    <rcc rId="0" sId="1" dxf="1">
      <nc r="G389">
        <v>27981.200000000001</v>
      </nc>
      <ndxf>
        <font>
          <i/>
          <name val="Times New Roman CYR"/>
          <family val="1"/>
        </font>
      </ndxf>
    </rcc>
    <rfmt sheetId="1" sqref="G390" start="0" length="0">
      <dxf>
        <font>
          <i/>
          <name val="Times New Roman CYR"/>
          <family val="1"/>
        </font>
      </dxf>
    </rfmt>
    <rfmt sheetId="1" sqref="G391" start="0" length="0">
      <dxf>
        <font>
          <i/>
          <name val="Times New Roman CYR"/>
          <family val="1"/>
        </font>
      </dxf>
    </rfmt>
    <rfmt sheetId="1" sqref="G417" start="0" length="0">
      <dxf>
        <font>
          <i/>
          <name val="Times New Roman CYR"/>
          <family val="1"/>
        </font>
      </dxf>
    </rfmt>
    <rfmt sheetId="1" sqref="G418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1" start="0" length="0">
      <dxf>
        <font>
          <i/>
          <name val="Times New Roman CYR"/>
          <family val="1"/>
        </font>
      </dxf>
    </rfmt>
    <rcc rId="0" sId="1" dxf="1">
      <nc r="G426">
        <v>5374.1559999999999</v>
      </nc>
      <ndxf>
        <font>
          <i/>
          <name val="Times New Roman CYR"/>
          <family val="1"/>
        </font>
      </ndxf>
    </rcc>
    <rcc rId="0" sId="1">
      <nc r="G432">
        <v>9722.6280000000006</v>
      </nc>
    </rcc>
    <rcc rId="0" sId="1">
      <nc r="G439">
        <v>5154.2160000000003</v>
      </nc>
    </rcc>
    <rfmt sheetId="1" sqref="G454" start="0" length="0">
      <dxf>
        <font>
          <i/>
          <name val="Times New Roman CYR"/>
          <family val="1"/>
        </font>
      </dxf>
    </rfmt>
    <rfmt sheetId="1" sqref="G455" start="0" length="0">
      <dxf>
        <font>
          <i/>
          <name val="Times New Roman CYR"/>
          <family val="1"/>
        </font>
      </dxf>
    </rfmt>
    <rcc rId="0" sId="1">
      <nc r="G467">
        <v>6904.1</v>
      </nc>
    </rcc>
    <rcc rId="0" sId="1">
      <nc r="G470">
        <v>4213</v>
      </nc>
    </rcc>
    <rcc rId="0" sId="1" dxf="1">
      <nc r="G471">
        <v>2602.23</v>
      </nc>
      <ndxf>
        <font>
          <i/>
          <name val="Times New Roman CYR"/>
          <family val="1"/>
        </font>
      </ndxf>
    </rcc>
    <rfmt sheetId="1" sqref="G472" start="0" length="0">
      <dxf>
        <font>
          <b/>
          <name val="Times New Roman CYR"/>
          <family val="1"/>
        </font>
      </dxf>
    </rfmt>
    <rcc rId="0" sId="1">
      <nc r="G479">
        <v>1952.29387</v>
      </nc>
    </rcc>
    <rcc rId="0" sId="1">
      <nc r="G482">
        <v>1499</v>
      </nc>
    </rcc>
    <rcc rId="0" sId="1">
      <nc r="G487">
        <v>2498.3000000000002</v>
      </nc>
    </rcc>
    <rfmt sheetId="1" sqref="G489" start="0" length="0">
      <dxf>
        <font>
          <i/>
          <name val="Times New Roman CYR"/>
          <family val="1"/>
        </font>
      </dxf>
    </rfmt>
    <rcc rId="0" sId="1">
      <nc r="G492">
        <v>323.89999999999998</v>
      </nc>
    </rcc>
    <rfmt sheetId="1" sqref="G499" start="0" length="0">
      <dxf>
        <font>
          <i/>
          <name val="Times New Roman CYR"/>
          <family val="1"/>
        </font>
      </dxf>
    </rfmt>
    <rfmt sheetId="1" sqref="G500" start="0" length="0">
      <dxf>
        <font>
          <i/>
          <name val="Times New Roman CYR"/>
          <family val="1"/>
        </font>
      </dxf>
    </rfmt>
    <rfmt sheetId="1" sqref="G501" start="0" length="0">
      <dxf>
        <font>
          <i/>
          <name val="Times New Roman CYR"/>
          <family val="1"/>
        </font>
      </dxf>
    </rfmt>
    <rfmt sheetId="1" sqref="G502" start="0" length="0">
      <dxf>
        <font>
          <i/>
          <name val="Times New Roman CYR"/>
          <family val="1"/>
        </font>
      </dxf>
    </rfmt>
    <rfmt sheetId="1" sqref="G503" start="0" length="0">
      <dxf>
        <font>
          <i/>
          <name val="Times New Roman CYR"/>
          <family val="1"/>
        </font>
      </dxf>
    </rfmt>
    <rcc rId="0" sId="1">
      <nc r="G511">
        <v>881.2</v>
      </nc>
    </rcc>
    <rfmt sheetId="1" sqref="G516" start="0" length="0">
      <dxf>
        <font>
          <i/>
          <name val="Times New Roman CYR"/>
          <family val="1"/>
        </font>
      </dxf>
    </rfmt>
    <rfmt sheetId="1" sqref="G519" start="0" length="0">
      <dxf>
        <font>
          <i/>
          <name val="Times New Roman CYR"/>
          <family val="1"/>
        </font>
      </dxf>
    </rfmt>
    <rcc rId="0" sId="1">
      <nc r="G521">
        <v>13287.4</v>
      </nc>
    </rcc>
    <rfmt sheetId="1" sqref="G5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1" start="0" length="0">
      <dxf>
        <numFmt numFmtId="166" formatCode="#,##0.00000"/>
      </dxf>
    </rfmt>
    <rfmt sheetId="1" sqref="G553" start="0" length="0">
      <dxf>
        <numFmt numFmtId="165" formatCode="0.00000"/>
      </dxf>
    </rfmt>
  </rr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11" sId="1">
    <oc r="D194" t="inlineStr">
      <is>
        <t>11000 00000</t>
      </is>
    </oc>
    <nc r="D194" t="inlineStr">
      <is>
        <t>04000 00000</t>
      </is>
    </nc>
  </rcc>
  <rrc rId="5312" sId="1" ref="A195:XFD195" action="insertRow"/>
  <rfmt sheetId="1" sqref="A195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313" sId="1" odxf="1" dxf="1">
    <nc r="B19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314" sId="1" odxf="1" dxf="1">
    <nc r="C19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195" start="0" length="0">
    <dxf>
      <font>
        <b val="0"/>
        <i/>
        <name val="Times New Roman"/>
        <family val="1"/>
      </font>
    </dxf>
  </rfmt>
  <rfmt sheetId="1" sqref="E195" start="0" length="0">
    <dxf>
      <font>
        <b val="0"/>
        <i/>
        <name val="Times New Roman"/>
        <family val="1"/>
      </font>
    </dxf>
  </rfmt>
  <rcc rId="5315" sId="1" odxf="1" dxf="1">
    <nc r="F195">
      <f>F196+F200+F202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316" sId="1">
    <nc r="D195" t="inlineStr">
      <is>
        <t>04300 00000</t>
      </is>
    </nc>
  </rcc>
  <rcc rId="5317" sId="1" xfDxf="1" dxf="1">
    <nc r="A195" t="inlineStr">
      <is>
        <t>Подпрограмма "Развитие дорожной сети в Селенгинском районе"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5:F195" start="0" length="2147483647">
    <dxf>
      <font>
        <b/>
      </font>
    </dxf>
  </rfmt>
  <rcc rId="5318" sId="1">
    <oc r="D196" t="inlineStr">
      <is>
        <t>11001 00000</t>
      </is>
    </oc>
    <nc r="D196" t="inlineStr">
      <is>
        <t>04304 00000</t>
      </is>
    </nc>
  </rcc>
  <rcc rId="5319" sId="1" xfDxf="1" dxf="1">
    <oc r="A196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96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0" sId="1">
    <oc r="D197" t="inlineStr">
      <is>
        <t>11001 82200</t>
      </is>
    </oc>
    <nc r="D197" t="inlineStr">
      <is>
        <t>04304 82200</t>
      </is>
    </nc>
  </rcc>
  <rcc rId="5321" sId="1" odxf="1" dxf="1">
    <oc r="D198" t="inlineStr">
      <is>
        <t>11001 82200</t>
      </is>
    </oc>
    <nc r="D198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2" sId="1" odxf="1" dxf="1">
    <oc r="D199" t="inlineStr">
      <is>
        <t>11001 82200</t>
      </is>
    </oc>
    <nc r="D19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3" sId="1" odxf="1" dxf="1">
    <oc r="D200" t="inlineStr">
      <is>
        <t>11001 82200</t>
      </is>
    </oc>
    <nc r="D200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8:D200" start="0" length="2147483647">
    <dxf>
      <font>
        <i val="0"/>
      </font>
    </dxf>
  </rfmt>
  <rcc rId="5324" sId="1" xfDxf="1" dxf="1">
    <oc r="A197" t="inlineStr">
      <is>
        <t>Содержание автомобильных дорог общего пользования местного значения</t>
      </is>
    </oc>
    <nc r="A197" t="inlineStr">
      <is>
        <t xml:space="preserve">Расходы на содержание автомобильных дорог общего пользования местного значения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5" sId="1" xf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6" sId="1" numFmtId="4">
    <oc r="F198">
      <v>4678.8845199999996</v>
    </oc>
    <nc r="F198">
      <v>3636.2475399999998</v>
    </nc>
  </rcc>
  <rrc rId="5327" sId="1" ref="A202:XFD202" action="insertRow"/>
  <rfmt sheetId="1" sqref="A202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5328" sId="1" odxf="1" dxf="1">
    <nc r="B20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329" sId="1" odxf="1" dxf="1">
    <nc r="C20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02" start="0" length="0">
    <dxf>
      <font>
        <i val="0"/>
        <name val="Times New Roman"/>
        <family val="1"/>
      </font>
    </dxf>
  </rfmt>
  <rfmt sheetId="1" sqref="E202" start="0" length="0">
    <dxf>
      <font>
        <i val="0"/>
        <name val="Times New Roman"/>
        <family val="1"/>
      </font>
      <fill>
        <patternFill>
          <bgColor theme="0"/>
        </patternFill>
      </fill>
    </dxf>
  </rfmt>
  <rcc rId="5330" sId="1" odxf="1" dxf="1" numFmtId="4">
    <nc r="F202">
      <v>728.47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331" sId="1">
    <nc r="E202" t="inlineStr">
      <is>
        <t>244</t>
      </is>
    </nc>
  </rcc>
  <rcc rId="5332" sId="1" odxf="1" dxf="1">
    <nc r="A202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5333" sId="1">
    <oc r="E203" t="inlineStr">
      <is>
        <t>414</t>
      </is>
    </oc>
    <nc r="E203" t="inlineStr">
      <is>
        <t>540</t>
      </is>
    </nc>
  </rcc>
  <rrc rId="5334" sId="1" ref="A204:XFD204" action="insertRow"/>
  <rcc rId="5335" sId="1">
    <nc r="B204" t="inlineStr">
      <is>
        <t>04</t>
      </is>
    </nc>
  </rcc>
  <rcc rId="5336" sId="1">
    <nc r="C204" t="inlineStr">
      <is>
        <t>09</t>
      </is>
    </nc>
  </rcc>
  <rcc rId="5337" sId="1">
    <nc r="E204" t="inlineStr">
      <is>
        <t>622</t>
      </is>
    </nc>
  </rcc>
  <rcc rId="5338" sId="1" numFmtId="4">
    <nc r="F204">
      <v>51020.41</v>
    </nc>
  </rcc>
  <rcc rId="5339" sId="1" numFmtId="4">
    <oc r="F203">
      <f>100713.9</f>
    </oc>
    <nc r="F203">
      <v>50000</v>
    </nc>
  </rcc>
  <rcc rId="5340" sId="1">
    <oc r="F201">
      <f>F203</f>
    </oc>
    <nc r="F201">
      <f>SUM(F202:F204)</f>
    </nc>
  </rcc>
  <rcc rId="5341" sId="1">
    <oc r="D201" t="inlineStr">
      <is>
        <t>11001 S21Д0</t>
      </is>
    </oc>
    <nc r="D201" t="inlineStr">
      <is>
        <t>04304 S21Д0</t>
      </is>
    </nc>
  </rcc>
  <rcc rId="5342" sId="1">
    <nc r="D202" t="inlineStr">
      <is>
        <t>04304 S21Д0</t>
      </is>
    </nc>
  </rcc>
  <rcc rId="5343" sId="1">
    <oc r="D203" t="inlineStr">
      <is>
        <t>11001 S21Д0</t>
      </is>
    </oc>
    <nc r="D203" t="inlineStr">
      <is>
        <t>04304 S21Д0</t>
      </is>
    </nc>
  </rcc>
  <rcc rId="5344" sId="1">
    <nc r="D204" t="inlineStr">
      <is>
        <t>04304 S21Д0</t>
      </is>
    </nc>
  </rcc>
  <rcc rId="5345" sId="1">
    <oc r="D205" t="inlineStr">
      <is>
        <t>11001 S23ДО</t>
      </is>
    </oc>
    <nc r="D205" t="inlineStr">
      <is>
        <t>04304 S23ДО</t>
      </is>
    </nc>
  </rcc>
  <rcc rId="5346" sId="1">
    <oc r="D206" t="inlineStr">
      <is>
        <t>11001 S23ДО</t>
      </is>
    </oc>
    <nc r="D206" t="inlineStr">
      <is>
        <t>04304 S23ДО</t>
      </is>
    </nc>
  </rcc>
  <rcc rId="5347" sId="1" numFmtId="4">
    <oc r="F206">
      <f>374.3</f>
    </oc>
    <nc r="F206">
      <v>381.95697999999999</v>
    </nc>
  </rcc>
  <rcc rId="5348" sId="1">
    <oc r="E206" t="inlineStr">
      <is>
        <t>244</t>
      </is>
    </oc>
    <nc r="E206" t="inlineStr">
      <is>
        <t>622</t>
      </is>
    </nc>
  </rcc>
  <rcc rId="5349" sId="1" xfDxf="1" dxf="1">
    <oc r="A203" t="inlineStr">
      <is>
        <t>Бюджетные инвестиции в объекты капитального строительства государственной (муниципальной) собственности</t>
      </is>
    </oc>
    <nc r="A203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0" sId="1" xfDxf="1" dxf="1">
    <nc r="A204" t="inlineStr">
      <is>
        <t>Субсидии автономным учреждениям на 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1" sId="1" xfDxf="1" dxf="1">
    <oc r="A206" t="inlineStr">
      <is>
        <t>Прочие закупки товаров, работ и услуг для государственных (муниципальных) нужд</t>
      </is>
    </oc>
    <nc r="A206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2" sId="1" odxf="1" dxf="1">
    <oc r="A200" t="inlineStr">
      <is>
        <t>Прочие закупки товаров, работ и услуг для государственных (муниципальных) нужд</t>
      </is>
    </oc>
    <nc r="A200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функцион.структура!$A$5:$F$554</formula>
    <oldFormula>функцион.структура!$A$5:$F$554</oldFormula>
  </rdn>
  <rdn rId="0" localSheetId="1" customView="1" name="Z_629918FE_B1DF_464A_BF50_03D18729BC02_.wvu.FilterData" hidden="1" oldHidden="1">
    <formula>функцион.структура!$A$17:$F$561</formula>
    <oldFormula>функцион.структура!$A$17:$F$561</oldFormula>
  </rdn>
  <rcv guid="{629918FE-B1DF-464A-BF50-03D18729BC02}" action="add"/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55" sId="1" odxf="1" dxf="1">
    <oc r="A194" t="inlineStr">
      <is>
        <t>Муниципальная программа «Развитие дорожной сети в Селенгинском районе на 2020 - 2024 годы»</t>
      </is>
    </oc>
    <nc r="A19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56" sId="1" numFmtId="4">
    <oc r="F71">
      <v>480</v>
    </oc>
    <nc r="F71">
      <f>480-10</f>
    </nc>
  </rcc>
  <rrc rId="5357" sId="1" ref="A517:XFD517" action="insertRow"/>
  <rrc rId="5358" sId="1" ref="A517:XFD517" action="insertRow"/>
  <rcc rId="5359" sId="1">
    <nc r="A518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5360" sId="1">
    <nc r="B518" t="inlineStr">
      <is>
        <t>11</t>
      </is>
    </nc>
  </rcc>
  <rcc rId="5361" sId="1">
    <nc r="C518" t="inlineStr">
      <is>
        <t>02</t>
      </is>
    </nc>
  </rcc>
  <rcc rId="5362" sId="1">
    <nc r="D518" t="inlineStr">
      <is>
        <t>99900 86000</t>
      </is>
    </nc>
  </rcc>
  <rcc rId="5363" sId="1">
    <nc r="E518" t="inlineStr">
      <is>
        <t>113</t>
      </is>
    </nc>
  </rcc>
  <rcc rId="5364" sId="1" numFmtId="4">
    <nc r="F518">
      <v>10</v>
    </nc>
  </rcc>
  <rrc rId="5365" sId="1" ref="A517:XFD517" action="insertRow"/>
  <rcc rId="5366" sId="1">
    <nc r="B518" t="inlineStr">
      <is>
        <t>11</t>
      </is>
    </nc>
  </rcc>
  <rcc rId="5367" sId="1">
    <nc r="C518" t="inlineStr">
      <is>
        <t>02</t>
      </is>
    </nc>
  </rcc>
  <rcc rId="5368" sId="1">
    <nc r="D518" t="inlineStr">
      <is>
        <t>99900 86000</t>
      </is>
    </nc>
  </rcc>
  <rcc rId="5369" sId="1">
    <nc r="F518">
      <f>F519</f>
    </nc>
  </rcc>
  <rcc rId="5370" sId="1" xfDxf="1" dxf="1">
    <nc r="A518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18:XFD518" start="0" length="2147483647">
    <dxf>
      <font>
        <i/>
      </font>
    </dxf>
  </rfmt>
  <rcc rId="5371" sId="1" odxf="1" dxf="1">
    <nc r="B51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72" sId="1" odxf="1" dxf="1">
    <nc r="C51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7" start="0" length="0">
    <dxf>
      <font>
        <i/>
        <name val="Times New Roman"/>
        <family val="1"/>
      </font>
    </dxf>
  </rfmt>
  <rcc rId="5373" sId="1">
    <nc r="D517" t="inlineStr">
      <is>
        <t>99900 00000</t>
      </is>
    </nc>
  </rcc>
  <rcc rId="5374" sId="1">
    <nc r="F517">
      <f>F518</f>
    </nc>
  </rcc>
  <rfmt sheetId="1" sqref="A517:XFD517" start="0" length="2147483647">
    <dxf>
      <font>
        <i/>
      </font>
    </dxf>
  </rfmt>
  <rfmt sheetId="1" sqref="A517:XFD517" start="0" length="2147483647">
    <dxf>
      <font>
        <i val="0"/>
      </font>
    </dxf>
  </rfmt>
  <rfmt sheetId="1" sqref="A517:XFD517" start="0" length="2147483647">
    <dxf>
      <font>
        <b/>
      </font>
    </dxf>
  </rfmt>
  <rcc rId="5375" sId="1">
    <nc r="A517" t="inlineStr">
      <is>
        <t>Непрограммные расходы</t>
      </is>
    </nc>
  </rcc>
  <rcc rId="5376" sId="1">
    <oc r="F501">
      <f>F507+F502</f>
    </oc>
    <nc r="F501">
      <f>F507+F502+F517</f>
    </nc>
  </rcc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7" sId="1">
    <oc r="F256">
      <f>14836.15464+302.77866+15.13893+0.01516</f>
    </oc>
    <nc r="F256">
      <f>14836.15464+302.77866+15.13893</f>
    </nc>
  </rcc>
  <rcc rId="5378" sId="1" numFmtId="4">
    <oc r="F135">
      <v>6994.51685</v>
    </oc>
    <nc r="F135">
      <v>6994.5320099999999</v>
    </nc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3" sId="1" numFmtId="4">
    <oc r="F23">
      <v>2034.3</v>
    </oc>
    <nc r="F23">
      <v>1744.7</v>
    </nc>
  </rcc>
  <rcc rId="5384" sId="1" numFmtId="4">
    <oc r="F24">
      <v>614.4</v>
    </oc>
    <nc r="F24">
      <v>527.20000000000005</v>
    </nc>
  </rcc>
  <rcc rId="5385" sId="1" numFmtId="4">
    <oc r="F35">
      <f>25+8</f>
    </oc>
    <nc r="F35">
      <v>33.799999999999997</v>
    </nc>
  </rcc>
  <rcc rId="5386" sId="1" numFmtId="4">
    <oc r="F36">
      <v>200</v>
    </oc>
    <nc r="F36">
      <v>199.2</v>
    </nc>
  </rcc>
  <rcc rId="5387" sId="1" numFmtId="4">
    <oc r="F45">
      <v>10855.5</v>
    </oc>
    <nc r="F45">
      <v>9357.1</v>
    </nc>
  </rcc>
  <rcc rId="5388" sId="1" numFmtId="4">
    <oc r="F46">
      <v>3278.3</v>
    </oc>
    <nc r="F46">
      <v>2817.2</v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9" sId="1" numFmtId="4">
    <oc r="F59">
      <f>5263+0.44632</f>
    </oc>
    <nc r="F59">
      <v>4488.44632</v>
    </nc>
  </rcc>
  <rcc rId="5390" sId="1" numFmtId="4">
    <oc r="F61">
      <v>1589.4</v>
    </oc>
    <nc r="F61">
      <v>1354.9</v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91" sId="1" numFmtId="4">
    <oc r="F71">
      <f>480-10</f>
    </oc>
    <nc r="F71">
      <v>273</v>
    </nc>
  </rcc>
  <rcc rId="5392" sId="1" numFmtId="4">
    <oc r="F86">
      <v>400</v>
    </oc>
    <nc r="F86">
      <v>100</v>
    </nc>
  </rcc>
  <rcc rId="5393" sId="1" numFmtId="4">
    <oc r="F91">
      <v>4491.7</v>
    </oc>
    <nc r="F91">
      <v>3843.2</v>
    </nc>
  </rcc>
  <rcc rId="5394" sId="1" numFmtId="4">
    <oc r="F93">
      <v>1356.5</v>
    </oc>
    <nc r="F93">
      <v>1160.2</v>
    </nc>
  </rcc>
  <rrc rId="5395" sId="1" ref="A113:XFD116" action="insertRow"/>
  <rfmt sheetId="1" sqref="A11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5396" sId="1" odxf="1" dxf="1">
    <nc r="B11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397" sId="1" odxf="1" dxf="1">
    <nc r="C11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13" start="0" length="0">
    <dxf>
      <font>
        <b/>
        <name val="Times New Roman"/>
        <family val="1"/>
      </font>
    </dxf>
  </rfmt>
  <rfmt sheetId="1" sqref="E113" start="0" length="0">
    <dxf>
      <font>
        <b/>
        <name val="Times New Roman"/>
        <family val="1"/>
      </font>
    </dxf>
  </rfmt>
  <rcc rId="5398" sId="1" odxf="1" dxf="1">
    <nc r="F113">
      <f>F114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14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5399" sId="1" odxf="1" dxf="1">
    <nc r="B11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0" sId="1" odxf="1" dxf="1">
    <nc r="C11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4" start="0" length="0">
    <dxf>
      <font>
        <i/>
        <name val="Times New Roman"/>
        <family val="1"/>
      </font>
    </dxf>
  </rfmt>
  <rfmt sheetId="1" sqref="E114" start="0" length="0">
    <dxf>
      <font>
        <i/>
        <name val="Times New Roman"/>
        <family val="1"/>
      </font>
    </dxf>
  </rfmt>
  <rcc rId="5401" sId="1" odxf="1" dxf="1">
    <nc r="F114">
      <f>F115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2" sId="1" odxf="1" dxf="1">
    <nc r="A11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5403" sId="1" odxf="1" dxf="1">
    <nc r="B11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4" sId="1" odxf="1" dxf="1">
    <nc r="C11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5" start="0" length="0">
    <dxf>
      <font>
        <i/>
        <name val="Times New Roman"/>
        <family val="1"/>
      </font>
    </dxf>
  </rfmt>
  <rfmt sheetId="1" sqref="E115" start="0" length="0">
    <dxf>
      <font>
        <i/>
        <name val="Times New Roman"/>
        <family val="1"/>
      </font>
    </dxf>
  </rfmt>
  <rcc rId="5405" sId="1" odxf="1" dxf="1">
    <nc r="F115">
      <f>F116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15" start="0" length="0">
    <dxf>
      <font>
        <i/>
        <name val="Times New Roman CYR"/>
        <family val="1"/>
      </font>
    </dxf>
  </rfmt>
  <rfmt sheetId="1" sqref="H115" start="0" length="0">
    <dxf>
      <font>
        <i/>
        <name val="Times New Roman CYR"/>
        <family val="1"/>
      </font>
    </dxf>
  </rfmt>
  <rfmt sheetId="1" sqref="I115" start="0" length="0">
    <dxf>
      <font>
        <i/>
        <name val="Times New Roman CYR"/>
        <family val="1"/>
      </font>
    </dxf>
  </rfmt>
  <rfmt sheetId="1" sqref="J115" start="0" length="0">
    <dxf>
      <font>
        <i/>
        <name val="Times New Roman CYR"/>
        <family val="1"/>
      </font>
    </dxf>
  </rfmt>
  <rfmt sheetId="1" sqref="K115" start="0" length="0">
    <dxf>
      <font>
        <i/>
        <name val="Times New Roman CYR"/>
        <family val="1"/>
      </font>
    </dxf>
  </rfmt>
  <rfmt sheetId="1" sqref="L115" start="0" length="0">
    <dxf>
      <font>
        <i/>
        <name val="Times New Roman CYR"/>
        <family val="1"/>
      </font>
    </dxf>
  </rfmt>
  <rfmt sheetId="1" sqref="M115" start="0" length="0">
    <dxf>
      <font>
        <i/>
        <name val="Times New Roman CYR"/>
        <family val="1"/>
      </font>
    </dxf>
  </rfmt>
  <rfmt sheetId="1" sqref="N115" start="0" length="0">
    <dxf>
      <font>
        <i/>
        <name val="Times New Roman CYR"/>
        <family val="1"/>
      </font>
    </dxf>
  </rfmt>
  <rfmt sheetId="1" sqref="O115" start="0" length="0">
    <dxf>
      <font>
        <i/>
        <name val="Times New Roman CYR"/>
        <family val="1"/>
      </font>
    </dxf>
  </rfmt>
  <rfmt sheetId="1" sqref="P115" start="0" length="0">
    <dxf>
      <font>
        <i/>
        <name val="Times New Roman CYR"/>
        <family val="1"/>
      </font>
    </dxf>
  </rfmt>
  <rfmt sheetId="1" sqref="A115:XFD115" start="0" length="0">
    <dxf>
      <font>
        <i/>
        <name val="Times New Roman CYR"/>
        <family val="1"/>
      </font>
    </dxf>
  </rfmt>
  <rcc rId="5406" sId="1">
    <nc r="A116" t="inlineStr">
      <is>
        <t>Прочие закупки товаров, работ и услуг для государственных (муниципальных) нужд</t>
      </is>
    </nc>
  </rcc>
  <rcc rId="5407" sId="1">
    <nc r="B116" t="inlineStr">
      <is>
        <t>01</t>
      </is>
    </nc>
  </rcc>
  <rcc rId="5408" sId="1">
    <nc r="C116" t="inlineStr">
      <is>
        <t>13</t>
      </is>
    </nc>
  </rcc>
  <rcc rId="5409" sId="1">
    <nc r="E116" t="inlineStr">
      <is>
        <t>244</t>
      </is>
    </nc>
  </rcc>
  <rcc rId="5410" sId="1">
    <nc r="D113" t="inlineStr">
      <is>
        <t>25000 00000</t>
      </is>
    </nc>
  </rcc>
  <rcc rId="5411" sId="1">
    <nc r="D114" t="inlineStr">
      <is>
        <t>25001 00000</t>
      </is>
    </nc>
  </rcc>
  <rcc rId="5412" sId="1">
    <nc r="D115" t="inlineStr">
      <is>
        <t>25001 82900</t>
      </is>
    </nc>
  </rcc>
  <rcc rId="5413" sId="1">
    <nc r="D116" t="inlineStr">
      <is>
        <t>25001 82900</t>
      </is>
    </nc>
  </rcc>
  <rcc rId="5414" sId="1" numFmtId="4">
    <nc r="F116">
      <f>220</f>
    </nc>
  </rcc>
  <rcc rId="5415" sId="1" xfDxf="1" dxf="1">
    <nc r="A11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name val="Times New Roman"/>
        <family val="1"/>
      </font>
      <alignment wrapText="1"/>
    </ndxf>
  </rcc>
  <rcc rId="5416" sId="1" xfDxf="1" dxf="1">
    <nc r="A114" t="inlineStr">
      <is>
        <t>Основное мероприятие "Проведение мониторинга несанкционированных свалок"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17" sId="1">
    <oc r="F72">
      <f>F73+F87+F100+F105+F109+F117+F83</f>
    </oc>
    <nc r="F72">
      <f>F73+F87+F100+F105+F109+F117+F83+F113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функцион.структура!$A$5:$F$561</formula>
    <oldFormula>функцион.структура!$A$5:$F$561</oldFormula>
  </rdn>
  <rdn rId="0" localSheetId="1" customView="1" name="Z_629918FE_B1DF_464A_BF50_03D18729BC02_.wvu.FilterData" hidden="1" oldHidden="1">
    <formula>функцион.структура!$A$17:$F$568</formula>
    <oldFormula>функцион.структура!$A$17:$F$568</oldFormula>
  </rdn>
  <rcv guid="{629918FE-B1DF-464A-BF50-03D18729BC02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" sId="1">
    <oc r="H426">
      <f>369.1+F415+F407+F413+F404+F399++F389+F384+F382+F378+F374</f>
    </oc>
    <nc r="H426">
      <f>F418+F414+F407+F404+F399+F389+F384+F382+F378+F374+F310+F297+F295</f>
    </nc>
  </rcc>
  <rfmt sheetId="1" sqref="H485" start="0" length="0">
    <dxf>
      <numFmt numFmtId="165" formatCode="0.00000"/>
    </dxf>
  </rfmt>
  <rcc rId="895" sId="1">
    <oc r="F480">
      <f>24589.9+182.4</f>
    </oc>
    <nc r="F480">
      <f>24589.9</f>
    </nc>
  </rcc>
  <rcc rId="896" sId="1" odxf="1" dxf="1">
    <nc r="H292">
      <f>F301+F304</f>
    </nc>
    <odxf>
      <numFmt numFmtId="0" formatCode="General"/>
    </odxf>
    <ndxf>
      <numFmt numFmtId="165" formatCode="0.00000"/>
    </ndxf>
  </rcc>
  <rcc rId="897" sId="1">
    <nc r="I319" t="inlineStr">
      <is>
        <t>=</t>
      </is>
    </nc>
  </rcc>
  <rcc rId="898" sId="1" odxf="1" dxf="1">
    <nc r="I337">
      <f>F339+1800+F327+F316+F301+F304+F254+F243</f>
    </nc>
    <odxf>
      <numFmt numFmtId="0" formatCode="General"/>
    </odxf>
    <ndxf>
      <numFmt numFmtId="165" formatCode="0.00000"/>
    </ndxf>
  </rcc>
  <rcc rId="899" sId="1" numFmtId="4">
    <oc r="F494">
      <v>102.39</v>
    </oc>
    <nc r="F494">
      <v>71.63</v>
    </nc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20" sId="1" numFmtId="4">
    <oc r="F122">
      <v>4000</v>
    </oc>
    <nc r="F122">
      <v>3750</v>
    </nc>
  </rcc>
  <rcc rId="5421" sId="1" numFmtId="4">
    <oc r="F124">
      <v>390.6</v>
    </oc>
    <nc r="F124">
      <v>425.8</v>
    </nc>
  </rcc>
  <rcc rId="5422" sId="1" numFmtId="4">
    <oc r="F125">
      <v>118</v>
    </oc>
    <nc r="F125">
      <v>128.6</v>
    </nc>
  </rcc>
  <rcc rId="5423" sId="1" numFmtId="4">
    <oc r="F129">
      <v>455.6</v>
    </oc>
    <nc r="F129">
      <v>501.3</v>
    </nc>
  </rcc>
  <rcc rId="5424" sId="1" numFmtId="4">
    <oc r="F130">
      <v>137.6</v>
    </oc>
    <nc r="F130">
      <v>151.4</v>
    </nc>
  </rcc>
  <rcc rId="5425" sId="1" numFmtId="4">
    <oc r="F134">
      <v>329.3</v>
    </oc>
    <nc r="F134">
      <v>358.95</v>
    </nc>
  </rcc>
  <rcc rId="5426" sId="1" numFmtId="4">
    <oc r="F135">
      <v>99.39</v>
    </oc>
    <nc r="F135">
      <v>108.34</v>
    </nc>
  </rcc>
  <rrc rId="5427" sId="1" ref="A139:XFD139" action="insertRow"/>
  <rfmt sheetId="1" sqref="A139" start="0" length="0">
    <dxf>
      <font>
        <i val="0"/>
        <color indexed="8"/>
        <name val="Times New Roman"/>
        <family val="1"/>
      </font>
    </dxf>
  </rfmt>
  <rcc rId="5428" sId="1" odxf="1" dxf="1">
    <nc r="B139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29" sId="1" odxf="1" dxf="1">
    <nc r="C139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30" sId="1" odxf="1" dxf="1">
    <nc r="D139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39" start="0" length="0">
    <dxf>
      <font>
        <i val="0"/>
        <name val="Times New Roman"/>
        <family val="1"/>
      </font>
    </dxf>
  </rfmt>
  <rfmt sheetId="1" sqref="F139" start="0" length="0">
    <dxf>
      <font>
        <i val="0"/>
        <name val="Times New Roman"/>
        <family val="1"/>
      </font>
    </dxf>
  </rfmt>
  <rcc rId="5431" sId="1">
    <nc r="E139" t="inlineStr">
      <is>
        <t>242</t>
      </is>
    </nc>
  </rcc>
  <rcc rId="5432" sId="1" numFmtId="4">
    <nc r="F139">
      <v>32.404060000000001</v>
    </nc>
  </rcc>
  <rcc rId="5433" sId="1">
    <nc r="A139" t="inlineStr">
      <is>
        <t>Закупка товаров, работ и услуг в сфере информационно-коммуникационных технологий</t>
      </is>
    </nc>
  </rcc>
  <rcc rId="5434" sId="1" numFmtId="4">
    <oc r="F140">
      <v>6994.5320099999999</v>
    </oc>
    <nc r="F140">
      <v>400.59138999999999</v>
    </nc>
  </rcc>
  <rrc rId="5435" sId="1" ref="A141:XFD141" action="insertRow"/>
  <rcc rId="5436" sId="1">
    <nc r="B141" t="inlineStr">
      <is>
        <t>01</t>
      </is>
    </nc>
  </rcc>
  <rcc rId="5437" sId="1">
    <nc r="C141" t="inlineStr">
      <is>
        <t>13</t>
      </is>
    </nc>
  </rcc>
  <rcc rId="5438" sId="1">
    <nc r="D141" t="inlineStr">
      <is>
        <t>99900 82900</t>
      </is>
    </nc>
  </rcc>
  <rcc rId="5439" sId="1">
    <nc r="E141" t="inlineStr">
      <is>
        <t>247</t>
      </is>
    </nc>
  </rcc>
  <rcc rId="5440" sId="1" numFmtId="4">
    <nc r="F141">
      <v>28.78107</v>
    </nc>
  </rcc>
  <rcc rId="5441" sId="1" odxf="1" dxf="1">
    <nc r="A141" t="inlineStr">
      <is>
        <t>Закупка энергетических ресурсов</t>
      </is>
    </nc>
    <ndxf>
      <fill>
        <patternFill patternType="solid"/>
      </fill>
    </ndxf>
  </rcc>
  <rrc rId="5442" sId="1" ref="A142:XFD142" action="insertRow"/>
  <rcc rId="5443" sId="1">
    <nc r="B142" t="inlineStr">
      <is>
        <t>01</t>
      </is>
    </nc>
  </rcc>
  <rcc rId="5444" sId="1">
    <nc r="C142" t="inlineStr">
      <is>
        <t>13</t>
      </is>
    </nc>
  </rcc>
  <rcc rId="5445" sId="1">
    <nc r="D142" t="inlineStr">
      <is>
        <t>99900 82900</t>
      </is>
    </nc>
  </rcc>
  <rcc rId="5446" sId="1">
    <nc r="E142" t="inlineStr">
      <is>
        <t>831</t>
      </is>
    </nc>
  </rcc>
  <rcc rId="5447" sId="1" numFmtId="4">
    <nc r="F142">
      <v>9.7279300000000006</v>
    </nc>
  </rcc>
  <rcc rId="5448" sId="1">
    <oc r="F138">
      <f>F140</f>
    </oc>
    <nc r="F138">
      <f>SUM(F139:F142)</f>
    </nc>
  </rcc>
  <rcc rId="5449" sId="1" numFmtId="4">
    <oc r="F147">
      <v>13758.4</v>
    </oc>
    <nc r="F147">
      <v>11838.2</v>
    </nc>
  </rcc>
  <rcc rId="5450" sId="1" numFmtId="4">
    <oc r="F148">
      <v>200</v>
    </oc>
    <nc r="F148">
      <v>205.8</v>
    </nc>
  </rcc>
  <rcc rId="5451" sId="1" numFmtId="4">
    <oc r="F149">
      <v>4154.6875</v>
    </oc>
    <nc r="F149">
      <v>3572.4875000000002</v>
    </nc>
  </rcc>
  <rcc rId="5452" sId="1" numFmtId="4">
    <oc r="F151">
      <v>5289.79</v>
    </oc>
    <nc r="F151">
      <v>5870.7389999999996</v>
    </nc>
  </rcc>
  <rcc rId="5453" sId="1" numFmtId="4">
    <oc r="F156">
      <v>20</v>
    </oc>
    <nc r="F156">
      <v>217</v>
    </nc>
  </rcc>
  <rcc rId="5454" sId="1" numFmtId="4">
    <oc r="F158">
      <f>1207.2</f>
    </oc>
    <nc r="F158">
      <v>9936.2549999999992</v>
    </nc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5" sId="1">
    <oc r="E199" t="inlineStr">
      <is>
        <t>244</t>
      </is>
    </oc>
    <nc r="E199" t="inlineStr">
      <is>
        <t>540</t>
      </is>
    </nc>
  </rcc>
  <rcc rId="5456" sId="1" o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rc rId="5457" sId="1" ref="A215:XFD218" action="insertRow"/>
  <rcc rId="5458" sId="1" odxf="1" dxf="1">
    <nc r="A215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215" start="0" length="0">
    <dxf>
      <fill>
        <patternFill patternType="none">
          <bgColor indexed="65"/>
        </patternFill>
      </fill>
    </dxf>
  </rfmt>
  <rfmt sheetId="1" sqref="C215" start="0" length="0">
    <dxf>
      <fill>
        <patternFill patternType="none">
          <bgColor indexed="65"/>
        </patternFill>
      </fill>
    </dxf>
  </rfmt>
  <rcc rId="5459" sId="1" odxf="1" dxf="1">
    <nc r="D215" t="inlineStr">
      <is>
        <t>03000 00000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15" start="0" length="0">
    <dxf>
      <fill>
        <patternFill patternType="none">
          <bgColor indexed="65"/>
        </patternFill>
      </fill>
    </dxf>
  </rfmt>
  <rcc rId="5460" sId="1" odxf="1" dxf="1">
    <nc r="F215">
      <f>F216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215" start="0" length="0">
    <dxf>
      <font>
        <b/>
        <name val="Times New Roman CYR"/>
        <family val="1"/>
      </font>
    </dxf>
  </rfmt>
  <rfmt sheetId="1" sqref="H215" start="0" length="0">
    <dxf>
      <font>
        <b/>
        <name val="Times New Roman CYR"/>
        <family val="1"/>
      </font>
    </dxf>
  </rfmt>
  <rfmt sheetId="1" sqref="I215" start="0" length="0">
    <dxf>
      <font>
        <b/>
        <name val="Times New Roman CYR"/>
        <family val="1"/>
      </font>
    </dxf>
  </rfmt>
  <rfmt sheetId="1" sqref="J215" start="0" length="0">
    <dxf>
      <font>
        <b/>
        <name val="Times New Roman CYR"/>
        <family val="1"/>
      </font>
    </dxf>
  </rfmt>
  <rfmt sheetId="1" sqref="K215" start="0" length="0">
    <dxf>
      <font>
        <b/>
        <name val="Times New Roman CYR"/>
        <family val="1"/>
      </font>
    </dxf>
  </rfmt>
  <rfmt sheetId="1" sqref="L215" start="0" length="0">
    <dxf>
      <font>
        <b/>
        <name val="Times New Roman CYR"/>
        <family val="1"/>
      </font>
    </dxf>
  </rfmt>
  <rfmt sheetId="1" sqref="M215" start="0" length="0">
    <dxf>
      <font>
        <b/>
        <name val="Times New Roman CYR"/>
        <family val="1"/>
      </font>
    </dxf>
  </rfmt>
  <rfmt sheetId="1" sqref="N215" start="0" length="0">
    <dxf>
      <font>
        <b/>
        <name val="Times New Roman CYR"/>
        <family val="1"/>
      </font>
    </dxf>
  </rfmt>
  <rfmt sheetId="1" sqref="O215" start="0" length="0">
    <dxf>
      <font>
        <b/>
        <name val="Times New Roman CYR"/>
        <family val="1"/>
      </font>
    </dxf>
  </rfmt>
  <rfmt sheetId="1" sqref="P215" start="0" length="0">
    <dxf>
      <font>
        <b/>
        <name val="Times New Roman CYR"/>
        <family val="1"/>
      </font>
    </dxf>
  </rfmt>
  <rfmt sheetId="1" sqref="A215:XFD215" start="0" length="0">
    <dxf>
      <font>
        <b/>
        <name val="Times New Roman CYR"/>
        <family val="1"/>
      </font>
    </dxf>
  </rfmt>
  <rfmt sheetId="1" sqref="A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B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61" sId="1" odxf="1" dxf="1">
    <nc r="F216">
      <f>F217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16" start="0" length="0">
    <dxf>
      <font>
        <b/>
        <name val="Times New Roman CYR"/>
        <family val="1"/>
      </font>
    </dxf>
  </rfmt>
  <rfmt sheetId="1" sqref="H216" start="0" length="0">
    <dxf>
      <font>
        <b/>
        <name val="Times New Roman CYR"/>
        <family val="1"/>
      </font>
    </dxf>
  </rfmt>
  <rfmt sheetId="1" sqref="I216" start="0" length="0">
    <dxf>
      <font>
        <b/>
        <name val="Times New Roman CYR"/>
        <family val="1"/>
      </font>
    </dxf>
  </rfmt>
  <rfmt sheetId="1" sqref="J216" start="0" length="0">
    <dxf>
      <font>
        <b/>
        <name val="Times New Roman CYR"/>
        <family val="1"/>
      </font>
    </dxf>
  </rfmt>
  <rfmt sheetId="1" sqref="K216" start="0" length="0">
    <dxf>
      <font>
        <b/>
        <name val="Times New Roman CYR"/>
        <family val="1"/>
      </font>
    </dxf>
  </rfmt>
  <rfmt sheetId="1" sqref="L216" start="0" length="0">
    <dxf>
      <font>
        <b/>
        <name val="Times New Roman CYR"/>
        <family val="1"/>
      </font>
    </dxf>
  </rfmt>
  <rfmt sheetId="1" sqref="M216" start="0" length="0">
    <dxf>
      <font>
        <b/>
        <name val="Times New Roman CYR"/>
        <family val="1"/>
      </font>
    </dxf>
  </rfmt>
  <rfmt sheetId="1" sqref="N216" start="0" length="0">
    <dxf>
      <font>
        <b/>
        <name val="Times New Roman CYR"/>
        <family val="1"/>
      </font>
    </dxf>
  </rfmt>
  <rfmt sheetId="1" sqref="O216" start="0" length="0">
    <dxf>
      <font>
        <b/>
        <name val="Times New Roman CYR"/>
        <family val="1"/>
      </font>
    </dxf>
  </rfmt>
  <rfmt sheetId="1" sqref="P216" start="0" length="0">
    <dxf>
      <font>
        <b/>
        <name val="Times New Roman CYR"/>
        <family val="1"/>
      </font>
    </dxf>
  </rfmt>
  <rfmt sheetId="1" sqref="A216:XFD216" start="0" length="0">
    <dxf>
      <font>
        <b/>
        <name val="Times New Roman CYR"/>
        <family val="1"/>
      </font>
    </dxf>
  </rfmt>
  <rfmt sheetId="1" sqref="A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62" sId="1" odxf="1" dxf="1">
    <nc r="F217">
      <f>F218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17" start="0" length="0">
    <dxf>
      <font>
        <b/>
        <name val="Times New Roman CYR"/>
        <family val="1"/>
      </font>
    </dxf>
  </rfmt>
  <rfmt sheetId="1" sqref="H217" start="0" length="0">
    <dxf>
      <font>
        <b/>
        <name val="Times New Roman CYR"/>
        <family val="1"/>
      </font>
    </dxf>
  </rfmt>
  <rfmt sheetId="1" sqref="I217" start="0" length="0">
    <dxf>
      <font>
        <b/>
        <name val="Times New Roman CYR"/>
        <family val="1"/>
      </font>
    </dxf>
  </rfmt>
  <rfmt sheetId="1" sqref="J217" start="0" length="0">
    <dxf>
      <font>
        <b/>
        <name val="Times New Roman CYR"/>
        <family val="1"/>
      </font>
    </dxf>
  </rfmt>
  <rfmt sheetId="1" sqref="K217" start="0" length="0">
    <dxf>
      <font>
        <b/>
        <name val="Times New Roman CYR"/>
        <family val="1"/>
      </font>
    </dxf>
  </rfmt>
  <rfmt sheetId="1" sqref="L217" start="0" length="0">
    <dxf>
      <font>
        <b/>
        <name val="Times New Roman CYR"/>
        <family val="1"/>
      </font>
    </dxf>
  </rfmt>
  <rfmt sheetId="1" sqref="M217" start="0" length="0">
    <dxf>
      <font>
        <b/>
        <name val="Times New Roman CYR"/>
        <family val="1"/>
      </font>
    </dxf>
  </rfmt>
  <rfmt sheetId="1" sqref="N217" start="0" length="0">
    <dxf>
      <font>
        <b/>
        <name val="Times New Roman CYR"/>
        <family val="1"/>
      </font>
    </dxf>
  </rfmt>
  <rfmt sheetId="1" sqref="O217" start="0" length="0">
    <dxf>
      <font>
        <b/>
        <name val="Times New Roman CYR"/>
        <family val="1"/>
      </font>
    </dxf>
  </rfmt>
  <rfmt sheetId="1" sqref="P217" start="0" length="0">
    <dxf>
      <font>
        <b/>
        <name val="Times New Roman CYR"/>
        <family val="1"/>
      </font>
    </dxf>
  </rfmt>
  <rfmt sheetId="1" sqref="A217:XFD217" start="0" length="0">
    <dxf>
      <font>
        <b/>
        <name val="Times New Roman CYR"/>
        <family val="1"/>
      </font>
    </dxf>
  </rfmt>
  <rfmt sheetId="1" sqref="A218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218" start="0" length="0">
    <dxf>
      <font>
        <b/>
        <name val="Times New Roman CYR"/>
        <family val="1"/>
      </font>
    </dxf>
  </rfmt>
  <rfmt sheetId="1" sqref="H218" start="0" length="0">
    <dxf>
      <font>
        <b/>
        <name val="Times New Roman CYR"/>
        <family val="1"/>
      </font>
    </dxf>
  </rfmt>
  <rfmt sheetId="1" sqref="I218" start="0" length="0">
    <dxf>
      <font>
        <b/>
        <name val="Times New Roman CYR"/>
        <family val="1"/>
      </font>
    </dxf>
  </rfmt>
  <rfmt sheetId="1" sqref="J218" start="0" length="0">
    <dxf>
      <font>
        <b/>
        <name val="Times New Roman CYR"/>
        <family val="1"/>
      </font>
    </dxf>
  </rfmt>
  <rfmt sheetId="1" sqref="K218" start="0" length="0">
    <dxf>
      <font>
        <b/>
        <name val="Times New Roman CYR"/>
        <family val="1"/>
      </font>
    </dxf>
  </rfmt>
  <rfmt sheetId="1" sqref="L218" start="0" length="0">
    <dxf>
      <font>
        <b/>
        <name val="Times New Roman CYR"/>
        <family val="1"/>
      </font>
    </dxf>
  </rfmt>
  <rfmt sheetId="1" sqref="M218" start="0" length="0">
    <dxf>
      <font>
        <b/>
        <name val="Times New Roman CYR"/>
        <family val="1"/>
      </font>
    </dxf>
  </rfmt>
  <rfmt sheetId="1" sqref="N218" start="0" length="0">
    <dxf>
      <font>
        <b/>
        <name val="Times New Roman CYR"/>
        <family val="1"/>
      </font>
    </dxf>
  </rfmt>
  <rfmt sheetId="1" sqref="O218" start="0" length="0">
    <dxf>
      <font>
        <b/>
        <name val="Times New Roman CYR"/>
        <family val="1"/>
      </font>
    </dxf>
  </rfmt>
  <rfmt sheetId="1" sqref="P218" start="0" length="0">
    <dxf>
      <font>
        <b/>
        <name val="Times New Roman CYR"/>
        <family val="1"/>
      </font>
    </dxf>
  </rfmt>
  <rfmt sheetId="1" sqref="A218:XFD218" start="0" length="0">
    <dxf>
      <font>
        <b/>
        <name val="Times New Roman CYR"/>
        <family val="1"/>
      </font>
    </dxf>
  </rfmt>
  <rcc rId="5463" sId="1">
    <nc r="B215" t="inlineStr">
      <is>
        <t>04</t>
      </is>
    </nc>
  </rcc>
  <rcc rId="5464" sId="1">
    <nc r="C215" t="inlineStr">
      <is>
        <t>12</t>
      </is>
    </nc>
  </rcc>
  <rcc rId="5465" sId="1">
    <nc r="B216" t="inlineStr">
      <is>
        <t>04</t>
      </is>
    </nc>
  </rcc>
  <rcc rId="5466" sId="1">
    <nc r="C216" t="inlineStr">
      <is>
        <t>12</t>
      </is>
    </nc>
  </rcc>
  <rcc rId="5467" sId="1">
    <nc r="B217" t="inlineStr">
      <is>
        <t>04</t>
      </is>
    </nc>
  </rcc>
  <rcc rId="5468" sId="1">
    <nc r="C217" t="inlineStr">
      <is>
        <t>12</t>
      </is>
    </nc>
  </rcc>
  <rcc rId="5469" sId="1">
    <nc r="B218" t="inlineStr">
      <is>
        <t>04</t>
      </is>
    </nc>
  </rcc>
  <rcc rId="5470" sId="1">
    <nc r="C218" t="inlineStr">
      <is>
        <t>12</t>
      </is>
    </nc>
  </rcc>
  <rcc rId="5471" sId="1">
    <nc r="D216" t="inlineStr">
      <is>
        <t>03002 00000</t>
      </is>
    </nc>
  </rcc>
  <rcc rId="5472" sId="1">
    <nc r="D218" t="inlineStr">
      <is>
        <t>03002 S2610</t>
      </is>
    </nc>
  </rcc>
  <rcc rId="5473" sId="1" odxf="1" dxf="1">
    <nc r="D217" t="inlineStr">
      <is>
        <t>03002 S2610</t>
      </is>
    </nc>
    <ndxf>
      <font>
        <i val="0"/>
        <name val="Times New Roman"/>
        <family val="1"/>
      </font>
    </ndxf>
  </rcc>
  <rcc rId="5474" sId="1">
    <nc r="E218" t="inlineStr">
      <is>
        <t>622</t>
      </is>
    </nc>
  </rcc>
  <rcc rId="5475" sId="1" odxf="1" dxf="1">
    <nc r="A21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476" sId="1" numFmtId="4">
    <nc r="F218">
      <v>600</v>
    </nc>
  </rcc>
  <rcc rId="5477" sId="1">
    <oc r="F214">
      <f>F230+F243+F219</f>
    </oc>
    <nc r="F214">
      <f>F215+F230+F243+F219</f>
    </nc>
  </rcc>
  <rfmt sheetId="1" sqref="A216:A217">
    <dxf>
      <fill>
        <patternFill patternType="solid">
          <bgColor rgb="FFFFFF00"/>
        </patternFill>
      </fill>
    </dxf>
  </rfmt>
  <rcc rId="5478" sId="1" xfDxf="1" dxf="1">
    <nc r="A21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79" sId="1" xfDxf="1" dxf="1">
    <nc r="A21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16:A217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функцион.структура!$A$5:$F$568</formula>
    <oldFormula>функцион.структура!$A$5:$F$568</oldFormula>
  </rdn>
  <rdn rId="0" localSheetId="1" customView="1" name="Z_629918FE_B1DF_464A_BF50_03D18729BC02_.wvu.FilterData" hidden="1" oldHidden="1">
    <formula>функцион.структура!$A$17:$F$575</formula>
    <oldFormula>функцион.структура!$A$17:$F$575</oldFormula>
  </rdn>
  <rcv guid="{629918FE-B1DF-464A-BF50-03D18729BC02}" action="add"/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2" sId="1" numFmtId="4">
    <oc r="F245">
      <v>3.2</v>
    </oc>
    <nc r="F245">
      <v>3.8</v>
    </nc>
  </rcc>
  <rrc rId="5483" sId="1" ref="A247:XFD250" action="insertRow"/>
  <rcc rId="5484" sId="1" odxf="1" dxf="1">
    <nc r="A247" t="inlineStr">
      <is>
        <t>Жилищное хозяйство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5" sId="1" odxf="1" dxf="1">
    <nc r="B247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6" sId="1" odxf="1" dxf="1">
    <nc r="C247" t="inlineStr">
      <is>
        <t>01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247" start="0" length="0">
    <dxf>
      <fill>
        <patternFill>
          <bgColor indexed="41"/>
        </patternFill>
      </fill>
    </dxf>
  </rfmt>
  <rfmt sheetId="1" sqref="E247" start="0" length="0">
    <dxf>
      <fill>
        <patternFill>
          <bgColor indexed="41"/>
        </patternFill>
      </fill>
    </dxf>
  </rfmt>
  <rcc rId="5487" sId="1" odxf="1" dxf="1">
    <nc r="F247">
      <f>F248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8" sId="1" odxf="1" dxf="1">
    <nc r="A248" t="inlineStr">
      <is>
        <t>Непрограммные расходы</t>
      </is>
    </nc>
    <odxf>
      <fill>
        <patternFill patternType="solid">
          <bgColor indexed="15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5489" sId="1" odxf="1" dxf="1">
    <nc r="B248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5490" sId="1" odxf="1" dxf="1">
    <nc r="C248" t="inlineStr">
      <is>
        <t>01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5491" sId="1" odxf="1" dxf="1">
    <nc r="D248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248" start="0" length="0">
    <dxf>
      <fill>
        <patternFill patternType="none">
          <bgColor indexed="65"/>
        </patternFill>
      </fill>
    </dxf>
  </rfmt>
  <rfmt sheetId="1" sqref="F248" start="0" length="0">
    <dxf>
      <fill>
        <patternFill patternType="none">
          <bgColor indexed="65"/>
        </patternFill>
      </fill>
    </dxf>
  </rfmt>
  <rcc rId="5492" sId="1" odxf="1" dxf="1">
    <nc r="A249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5493" sId="1" odxf="1" dxf="1">
    <nc r="B249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4" sId="1" odxf="1" dxf="1">
    <nc r="C249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5" sId="1" odxf="1" dxf="1">
    <nc r="D249" t="inlineStr">
      <is>
        <t>999F3 67483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96" sId="1" odxf="1" dxf="1">
    <nc r="F249">
      <f>F250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7" sId="1" odxf="1" dxf="1">
    <nc r="A250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5498" sId="1" odxf="1" dxf="1">
    <nc r="B250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499" sId="1" odxf="1" dxf="1">
    <nc r="C250" t="inlineStr">
      <is>
        <t>01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500" sId="1" odxf="1" dxf="1">
    <nc r="D250" t="inlineStr">
      <is>
        <t>999F3 67483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501" sId="1" odxf="1" dxf="1">
    <nc r="E250" t="inlineStr">
      <is>
        <t>540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F2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502" sId="1" numFmtId="4">
    <nc r="F250">
      <v>185338.0704</v>
    </nc>
  </rcc>
  <rcc rId="5503" sId="1">
    <nc r="F248">
      <f>F249</f>
    </nc>
  </rcc>
  <rcc rId="5504" sId="1">
    <oc r="F246">
      <f>F251+F267+F277</f>
    </oc>
    <nc r="F246">
      <f>F247+F251+F267+F277</f>
    </nc>
  </rcc>
  <rcc rId="5505" sId="1" numFmtId="4">
    <oc r="F261">
      <v>300</v>
    </oc>
    <nc r="F261">
      <f>700.32</f>
    </nc>
  </rcc>
  <rcc rId="5506" sId="1" xfDxf="1" dxf="1">
    <oc r="A260" t="inlineStr">
      <is>
        <t>Прочие мероприятия, связанные с выполнением обязательств органов местного самоуправления</t>
      </is>
    </oc>
    <nc r="A260" t="inlineStr">
      <is>
        <t>На модернизацию объектов водоснабжения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07" sId="1" xfDxf="1" dxf="1">
    <oc r="D260" t="inlineStr">
      <is>
        <t>17001 82900</t>
      </is>
    </oc>
    <nc r="D260" t="inlineStr">
      <is>
        <t>17001S2860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8" sId="1">
    <oc r="D265" t="inlineStr">
      <is>
        <t>99900 S2860</t>
      </is>
    </oc>
    <nc r="D265" t="inlineStr">
      <is>
        <t>99900 82900</t>
      </is>
    </nc>
  </rcc>
  <rcc rId="5509" sId="1">
    <oc r="D266" t="inlineStr">
      <is>
        <t>99900 S2860</t>
      </is>
    </oc>
    <nc r="D266" t="inlineStr">
      <is>
        <t>99900 82900</t>
      </is>
    </nc>
  </rcc>
  <rcc rId="5510" sId="1" numFmtId="4">
    <oc r="F266">
      <f>700.32</f>
    </oc>
    <nc r="F266">
      <v>623.58000000000004</v>
    </nc>
  </rcc>
  <rcc rId="5511" sId="1" odxf="1" dxf="1">
    <oc r="A260" t="inlineStr">
      <is>
        <t>На модернизацию объектов водоснабжения</t>
      </is>
    </oc>
    <nc r="A260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512" sId="1">
    <oc r="E261" t="inlineStr">
      <is>
        <t>244</t>
      </is>
    </oc>
    <nc r="E261" t="inlineStr">
      <is>
        <t>414</t>
      </is>
    </nc>
  </rcc>
  <rfmt sheetId="1" sqref="D261" start="0" length="0">
    <dxf>
      <font>
        <i/>
        <name val="Times New Roman"/>
        <family val="1"/>
      </font>
    </dxf>
  </rfmt>
  <rcc rId="5513" sId="1">
    <oc r="D260" t="inlineStr">
      <is>
        <t>17001S2860</t>
      </is>
    </oc>
    <nc r="D260" t="inlineStr">
      <is>
        <t>17001 S2860</t>
      </is>
    </nc>
  </rcc>
  <rcc rId="5514" sId="1">
    <oc r="D261" t="inlineStr">
      <is>
        <t>17001 82900</t>
      </is>
    </oc>
    <nc r="D261" t="inlineStr">
      <is>
        <t>17001 S2860</t>
      </is>
    </nc>
  </rcc>
  <rcc rId="5515" sId="1" xfDxf="1" dxf="1">
    <oc r="A265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265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1" start="0" length="0">
    <dxf>
      <font>
        <color indexed="8"/>
        <name val="Times New Roman"/>
        <family val="1"/>
      </font>
      <fill>
        <patternFill patternType="solid"/>
      </fill>
    </dxf>
  </rfmt>
  <rfmt sheetId="1" sqref="A26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horizontal="center"/>
    </dxf>
  </rfmt>
  <rcc rId="5516" sId="1" odxf="1" dxf="1">
    <oc r="A261" t="inlineStr">
      <is>
        <t>Прочие закупки товаров, работ и услуг для государственных (муниципальных) нужд</t>
      </is>
    </oc>
    <nc r="A26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0" formatCode="General"/>
      <alignment horizontal="left"/>
    </ndxf>
  </rcc>
  <rcc rId="5517" sId="1" numFmtId="4">
    <oc r="F272">
      <f>11928.51796+237.65143+12.16387</f>
    </oc>
    <nc r="F272">
      <v>15154.07223</v>
    </nc>
  </rcc>
  <rcc rId="5518" sId="1">
    <oc r="F270">
      <f>SUM(F271:F272)</f>
    </oc>
    <nc r="F270">
      <f>SUM(F271:F272)</f>
    </nc>
  </rcc>
  <rcc rId="5519" sId="1" xfDxf="1" dxf="1">
    <oc r="A273" t="inlineStr">
      <is>
        <t>Непрограммные расходы</t>
      </is>
    </oc>
    <nc r="A27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20" sId="1">
    <oc r="D273" t="inlineStr">
      <is>
        <t>99900 00000</t>
      </is>
    </oc>
    <nc r="D273" t="inlineStr">
      <is>
        <t>25000 00000</t>
      </is>
    </nc>
  </rcc>
  <rfmt sheetId="1" sqref="D274" start="0" length="0">
    <dxf>
      <font>
        <b/>
        <i val="0"/>
        <name val="Times New Roman"/>
        <family val="1"/>
      </font>
    </dxf>
  </rfmt>
  <rcc rId="5521" sId="1">
    <oc r="D274" t="inlineStr">
      <is>
        <t>99900 82900</t>
      </is>
    </oc>
    <nc r="D274" t="inlineStr">
      <is>
        <t>25002 00000</t>
      </is>
    </nc>
  </rcc>
  <rfmt sheetId="1" sqref="D274" start="0" length="2147483647">
    <dxf>
      <font>
        <b val="0"/>
      </font>
    </dxf>
  </rfmt>
  <rfmt sheetId="1" sqref="D274" start="0" length="2147483647">
    <dxf>
      <font>
        <i/>
      </font>
    </dxf>
  </rfmt>
  <rcc rId="5522" sId="1" xfDxf="1" dxf="1">
    <oc r="A274" t="inlineStr">
      <is>
        <t>Прочие мероприятия , связанные с выполнением обязательств ОМСУ</t>
      </is>
    </oc>
    <nc r="A274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23" sId="1">
    <oc r="D275" t="inlineStr">
      <is>
        <t>99900 82900</t>
      </is>
    </oc>
    <nc r="D275" t="inlineStr">
      <is>
        <t>25002 82900</t>
      </is>
    </nc>
  </rcc>
  <rcc rId="5524" sId="1">
    <oc r="E275" t="inlineStr">
      <is>
        <t>244</t>
      </is>
    </oc>
    <nc r="E275" t="inlineStr">
      <is>
        <t>540</t>
      </is>
    </nc>
  </rcc>
  <rrc rId="5525" sId="1" ref="A276:XFD276" action="insertRow"/>
  <rfmt sheetId="1" sqref="A276" start="0" length="0">
    <dxf>
      <font>
        <i/>
        <color indexed="8"/>
        <name val="Times New Roman"/>
        <family val="1"/>
      </font>
      <alignment horizontal="general" vertical="top"/>
    </dxf>
  </rfmt>
  <rcc rId="5526" sId="1" odxf="1" dxf="1">
    <nc r="B27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27" sId="1" odxf="1" dxf="1">
    <nc r="C2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76" start="0" length="0">
    <dxf>
      <font>
        <i/>
        <name val="Times New Roman"/>
        <family val="1"/>
      </font>
    </dxf>
  </rfmt>
  <rfmt sheetId="1" sqref="E276" start="0" length="0">
    <dxf>
      <font>
        <i/>
        <name val="Times New Roman"/>
        <family val="1"/>
      </font>
    </dxf>
  </rfmt>
  <rfmt sheetId="1" sqref="F276" start="0" length="0">
    <dxf>
      <font>
        <i/>
        <name val="Times New Roman"/>
        <family val="1"/>
      </font>
    </dxf>
  </rfmt>
  <rcc rId="5528" sId="1">
    <nc r="D276" t="inlineStr">
      <is>
        <t>25003 00000</t>
      </is>
    </nc>
  </rcc>
  <rcc rId="5529" sId="1">
    <oc r="D277" t="inlineStr">
      <is>
        <t>99900 82900</t>
      </is>
    </oc>
    <nc r="D277" t="inlineStr">
      <is>
        <t>25003 82900</t>
      </is>
    </nc>
  </rcc>
  <rcc rId="5530" sId="1">
    <oc r="E277" t="inlineStr">
      <is>
        <t>622</t>
      </is>
    </oc>
    <nc r="E277" t="inlineStr">
      <is>
        <t>540</t>
      </is>
    </nc>
  </rcc>
  <rcc rId="5531" sId="1" xfDxf="1" dxf="1">
    <nc r="A276" t="inlineStr">
      <is>
        <t>Основное мероприятие "Повышение уровня благоустройства территории"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32" sId="1" numFmtId="4">
    <oc r="F277">
      <v>3100</v>
    </oc>
    <nc r="F277">
      <v>100</v>
    </nc>
  </rcc>
  <rcc rId="5533" sId="1">
    <nc r="F276">
      <f>F277</f>
    </nc>
  </rcc>
  <rcc rId="5534" sId="1" numFmtId="4">
    <oc r="F275">
      <v>14841.30687</v>
    </oc>
    <nc r="F275">
      <v>14945.95651</v>
    </nc>
  </rcc>
  <rcc rId="5535" sId="1">
    <oc r="F274">
      <f>SUM(F275:F277)</f>
    </oc>
    <nc r="F274">
      <f>F275</f>
    </nc>
  </rcc>
  <rcc rId="5536" sId="1">
    <oc r="F273">
      <f>F274</f>
    </oc>
    <nc r="F273">
      <f>F274+F276</f>
    </nc>
  </rcc>
  <rcc rId="5537" sId="1">
    <oc r="A275" t="inlineStr">
      <is>
        <t>Прочие закупки товаров, работ и услуг для государственных (муниципальных) нужд</t>
      </is>
    </oc>
    <nc r="A275" t="inlineStr">
      <is>
        <t>Иные межбюджетные трансферты</t>
      </is>
    </nc>
  </rcc>
  <rcc rId="5538" sId="1">
    <oc r="A277" t="inlineStr">
      <is>
        <t>Субсидии автономным учреждениям на иные цели</t>
      </is>
    </oc>
    <nc r="A277" t="inlineStr">
      <is>
        <t>Иные межбюджетные трансферты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функцион.структура!$A$5:$F$573</formula>
    <oldFormula>функцион.структура!$A$5:$F$573</oldFormula>
  </rdn>
  <rdn rId="0" localSheetId="1" customView="1" name="Z_629918FE_B1DF_464A_BF50_03D18729BC02_.wvu.FilterData" hidden="1" oldHidden="1">
    <formula>функцион.структура!$A$17:$F$580</formula>
    <oldFormula>функцион.структура!$A$17:$F$580</oldFormula>
  </rdn>
  <rcv guid="{629918FE-B1DF-464A-BF50-03D18729BC02}" action="add"/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41" sId="1" ref="A278:XFD280" action="insertRow"/>
  <rcc rId="5542" sId="1" odxf="1" dxf="1">
    <nc r="A278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5543" sId="1" odxf="1" dxf="1">
    <nc r="B27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78" start="0" length="0">
    <dxf>
      <font>
        <b/>
        <name val="Times New Roman"/>
        <family val="1"/>
      </font>
    </dxf>
  </rfmt>
  <rcc rId="5544" sId="1" odxf="1" dxf="1">
    <nc r="D27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78" start="0" length="0">
    <dxf>
      <font>
        <b/>
        <name val="Times New Roman"/>
        <family val="1"/>
      </font>
    </dxf>
  </rfmt>
  <rfmt sheetId="1" sqref="F27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79" start="0" length="0">
    <dxf>
      <font>
        <i/>
        <color indexed="8"/>
        <name val="Times New Roman"/>
        <family val="1"/>
      </font>
      <alignment horizontal="general" vertical="top"/>
    </dxf>
  </rfmt>
  <rcc rId="5545" sId="1" odxf="1" dxf="1">
    <nc r="B27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79" start="0" length="0">
    <dxf>
      <font>
        <i/>
        <name val="Times New Roman"/>
        <family val="1"/>
      </font>
    </dxf>
  </rfmt>
  <rfmt sheetId="1" sqref="D279" start="0" length="0">
    <dxf>
      <font>
        <i/>
        <name val="Times New Roman"/>
        <family val="1"/>
      </font>
    </dxf>
  </rfmt>
  <rfmt sheetId="1" sqref="E279" start="0" length="0">
    <dxf>
      <font>
        <i/>
        <name val="Times New Roman"/>
        <family val="1"/>
      </font>
    </dxf>
  </rfmt>
  <rfmt sheetId="1" sqref="F279" start="0" length="0">
    <dxf>
      <font>
        <i/>
        <name val="Times New Roman"/>
        <family val="1"/>
      </font>
    </dxf>
  </rfmt>
  <rfmt sheetId="1" sqref="A280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5546" sId="1">
    <nc r="B280" t="inlineStr">
      <is>
        <t>05</t>
      </is>
    </nc>
  </rcc>
  <rcc rId="5547" sId="1">
    <nc r="E280" t="inlineStr">
      <is>
        <t>540</t>
      </is>
    </nc>
  </rcc>
  <rcc rId="5548" sId="1">
    <nc r="C278" t="inlineStr">
      <is>
        <t>03</t>
      </is>
    </nc>
  </rcc>
  <rcc rId="5549" sId="1">
    <nc r="C279" t="inlineStr">
      <is>
        <t>03</t>
      </is>
    </nc>
  </rcc>
  <rcc rId="5550" sId="1">
    <nc r="C280" t="inlineStr">
      <is>
        <t>03</t>
      </is>
    </nc>
  </rcc>
  <rrc rId="5551" sId="1" ref="A281:XFD281" action="insertRow"/>
  <rcc rId="5552" sId="1">
    <nc r="B281" t="inlineStr">
      <is>
        <t>05</t>
      </is>
    </nc>
  </rcc>
  <rcc rId="5553" sId="1">
    <nc r="C281" t="inlineStr">
      <is>
        <t>03</t>
      </is>
    </nc>
  </rcc>
  <rcc rId="5554" sId="1">
    <nc r="E281" t="inlineStr">
      <is>
        <t>622</t>
      </is>
    </nc>
  </rcc>
  <rcc rId="5555" sId="1">
    <nc r="A280" t="inlineStr">
      <is>
        <t>Иные межбюджетные трансферты</t>
      </is>
    </nc>
  </rcc>
  <rcc rId="5556" sId="1" odxf="1" dxf="1">
    <nc r="A28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5557" sId="1">
    <nc r="D279" t="inlineStr">
      <is>
        <t>99900 55050</t>
      </is>
    </nc>
  </rcc>
  <rcc rId="5558" sId="1" odxf="1" dxf="1">
    <nc r="D280" t="inlineStr">
      <is>
        <t>99900 55050</t>
      </is>
    </nc>
    <ndxf>
      <font>
        <i/>
        <name val="Times New Roman"/>
        <family val="1"/>
      </font>
    </ndxf>
  </rcc>
  <rcc rId="5559" sId="1" odxf="1" dxf="1">
    <nc r="D281" t="inlineStr">
      <is>
        <t>99900 55050</t>
      </is>
    </nc>
    <ndxf>
      <font>
        <i/>
        <name val="Times New Roman"/>
        <family val="1"/>
      </font>
    </ndxf>
  </rcc>
  <rfmt sheetId="1" sqref="D280:D281" start="0" length="2147483647">
    <dxf>
      <font>
        <i val="0"/>
      </font>
    </dxf>
  </rfmt>
  <rcc rId="5560" sId="1" numFmtId="4">
    <nc r="F280">
      <v>27039.200000000001</v>
    </nc>
  </rcc>
  <rcc rId="5561" sId="1" numFmtId="4">
    <nc r="F281">
      <v>27039.200000000001</v>
    </nc>
  </rcc>
  <rcc rId="5562" sId="1">
    <nc r="F279">
      <f>SUM(F280:F281)</f>
    </nc>
  </rcc>
  <rcc rId="5563" sId="1" xfDxf="1" dxf="1">
    <nc r="A279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564" sId="1" ref="A282:XFD284" action="insertRow"/>
  <rfmt sheetId="1" sqref="A282" start="0" length="0">
    <dxf>
      <font>
        <i/>
        <color indexed="8"/>
        <name val="Times New Roman"/>
        <family val="1"/>
      </font>
      <alignment horizontal="general" vertical="top"/>
    </dxf>
  </rfmt>
  <rcc rId="5565" sId="1" odxf="1" dxf="1">
    <nc r="B28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6" sId="1" odxf="1" dxf="1">
    <nc r="C28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2" start="0" length="0">
    <dxf>
      <font>
        <i/>
        <name val="Times New Roman"/>
        <family val="1"/>
      </font>
    </dxf>
  </rfmt>
  <rfmt sheetId="1" sqref="E282" start="0" length="0">
    <dxf>
      <font>
        <i/>
        <name val="Times New Roman"/>
        <family val="1"/>
      </font>
    </dxf>
  </rfmt>
  <rcc rId="5567" sId="1" odxf="1" dxf="1">
    <nc r="F282">
      <f>SUM(F283:F284)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8" sId="1" odxf="1" dxf="1">
    <nc r="A283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5569" sId="1">
    <nc r="B283" t="inlineStr">
      <is>
        <t>05</t>
      </is>
    </nc>
  </rcc>
  <rcc rId="5570" sId="1">
    <nc r="C283" t="inlineStr">
      <is>
        <t>03</t>
      </is>
    </nc>
  </rcc>
  <rcc rId="5571" sId="1">
    <nc r="E283" t="inlineStr">
      <is>
        <t>540</t>
      </is>
    </nc>
  </rcc>
  <rcc rId="5572" sId="1">
    <nc r="A284" t="inlineStr">
      <is>
        <t>Субсидии автономным учреждениям на иные цели</t>
      </is>
    </nc>
  </rcc>
  <rcc rId="5573" sId="1">
    <nc r="B284" t="inlineStr">
      <is>
        <t>05</t>
      </is>
    </nc>
  </rcc>
  <rcc rId="5574" sId="1">
    <nc r="C284" t="inlineStr">
      <is>
        <t>03</t>
      </is>
    </nc>
  </rcc>
  <rcc rId="5575" sId="1">
    <nc r="E284" t="inlineStr">
      <is>
        <t>622</t>
      </is>
    </nc>
  </rcc>
  <rcc rId="5576" sId="1">
    <nc r="D282" t="inlineStr">
      <is>
        <t>99900 74330</t>
      </is>
    </nc>
  </rcc>
  <rcc rId="5577" sId="1" odxf="1" dxf="1">
    <nc r="D283" t="inlineStr">
      <is>
        <t>99900 74330</t>
      </is>
    </nc>
    <ndxf>
      <font>
        <i/>
        <name val="Times New Roman"/>
        <family val="1"/>
      </font>
    </ndxf>
  </rcc>
  <rcc rId="5578" sId="1" odxf="1" dxf="1">
    <nc r="D284" t="inlineStr">
      <is>
        <t>99900 74330</t>
      </is>
    </nc>
    <ndxf>
      <font>
        <i/>
        <name val="Times New Roman"/>
        <family val="1"/>
      </font>
    </ndxf>
  </rcc>
  <rfmt sheetId="1" sqref="D283:D284" start="0" length="2147483647">
    <dxf>
      <font>
        <i val="0"/>
      </font>
    </dxf>
  </rfmt>
  <rcc rId="5579" sId="1" numFmtId="4">
    <nc r="F283">
      <v>273.09755999999999</v>
    </nc>
  </rcc>
  <rcc rId="5580" sId="1" numFmtId="4">
    <nc r="F284">
      <v>273.09755999999999</v>
    </nc>
  </rcc>
  <rcc rId="5581" sId="1">
    <nc r="F278">
      <f>F279+F282</f>
    </nc>
  </rcc>
  <rcc rId="5582" sId="1" xfDxf="1" dxf="1">
    <nc r="A282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функцион.структура!$A$5:$F$580</formula>
    <oldFormula>функцион.структура!$A$5:$F$580</oldFormula>
  </rdn>
  <rdn rId="0" localSheetId="1" customView="1" name="Z_629918FE_B1DF_464A_BF50_03D18729BC02_.wvu.FilterData" hidden="1" oldHidden="1">
    <formula>функцион.структура!$A$17:$F$587</formula>
    <oldFormula>функцион.структура!$A$17:$F$587</oldFormula>
  </rdn>
  <rcv guid="{629918FE-B1DF-464A-BF50-03D18729BC02}" action="add"/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5" sId="1">
    <oc r="F267">
      <f>F268+F273</f>
    </oc>
    <nc r="F267">
      <f>F268+F273+F278</f>
    </nc>
  </rcc>
  <rrc rId="5586" sId="1" ref="A289:XFD289" action="insertRow"/>
  <rcc rId="5587" sId="1" odxf="1" dxf="1">
    <nc r="A289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5588" sId="1">
    <nc r="E289" t="inlineStr">
      <is>
        <t>622</t>
      </is>
    </nc>
  </rcc>
  <rcc rId="5589" sId="1">
    <nc r="B289" t="inlineStr">
      <is>
        <t>05</t>
      </is>
    </nc>
  </rcc>
  <rcc rId="5590" sId="1">
    <nc r="C289" t="inlineStr">
      <is>
        <t>05</t>
      </is>
    </nc>
  </rcc>
  <rcc rId="5591" sId="1">
    <nc r="D289" t="inlineStr">
      <is>
        <t>999F2 54240</t>
      </is>
    </nc>
  </rcc>
  <rcc rId="5592" sId="1" numFmtId="4">
    <nc r="F289">
      <v>85000</v>
    </nc>
  </rcc>
  <rcc rId="5593" sId="1">
    <oc r="F287">
      <f>F288</f>
    </oc>
    <nc r="F287">
      <f>SUM(F288:F289)</f>
    </nc>
  </rcc>
  <rcc rId="5594" sId="1">
    <oc r="F286">
      <f>F290+F287</f>
    </oc>
    <nc r="F286">
      <f>F287</f>
    </nc>
  </rcc>
  <rrc rId="5595" sId="1" ref="A286:XFD287" action="insertRow"/>
  <rm rId="5596" sheetId="1" source="A292:XFD293" destination="A286:XFD287" sourceSheetId="1">
    <rfmt sheetId="1" xfDxf="1" sqref="A286:XFD286" start="0" length="0">
      <dxf>
        <font>
          <name val="Times New Roman CYR"/>
          <family val="1"/>
        </font>
        <alignment wrapText="1"/>
      </dxf>
    </rfmt>
    <rfmt sheetId="1" xfDxf="1" sqref="A287:XFD287" start="0" length="0">
      <dxf>
        <font>
          <name val="Times New Roman CYR"/>
          <family val="1"/>
        </font>
        <alignment wrapText="1"/>
      </dxf>
    </rfmt>
    <rfmt sheetId="1" sqref="A28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597" sId="1" ref="A292:XFD292" action="deleteRow">
    <rfmt sheetId="1" xfDxf="1" sqref="A292:XFD292" start="0" length="0">
      <dxf>
        <font>
          <name val="Times New Roman CYR"/>
          <family val="1"/>
        </font>
        <alignment wrapText="1"/>
      </dxf>
    </rfmt>
  </rrc>
  <rrc rId="5598" sId="1" ref="A292:XFD292" action="deleteRow">
    <rfmt sheetId="1" xfDxf="1" sqref="A292:XFD292" start="0" length="0">
      <dxf>
        <font>
          <name val="Times New Roman CYR"/>
          <family val="1"/>
        </font>
        <alignment wrapText="1"/>
      </dxf>
    </rfmt>
  </rrc>
  <rrc rId="5599" sId="1" ref="A286:XFD286" action="insertRow"/>
  <rfmt sheetId="1" xfDxf="1" sqref="A286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600" sId="1" odxf="1" dxf="1">
    <nc r="A286" t="inlineStr">
      <is>
        <t>Муниципальная программа "Чистая вода на 2020-2024 годы"</t>
      </is>
    </nc>
    <ndxf>
      <fill>
        <patternFill patternType="none">
          <bgColor indexed="65"/>
        </patternFill>
      </fill>
      <alignment vertical="top"/>
    </ndxf>
  </rcc>
  <rcc rId="5601" sId="1" odxf="1" dxf="1">
    <nc r="B286" t="inlineStr">
      <is>
        <t>05</t>
      </is>
    </nc>
    <ndxf>
      <fill>
        <patternFill patternType="none">
          <bgColor indexed="65"/>
        </patternFill>
      </fill>
    </ndxf>
  </rcc>
  <rcc rId="5602" sId="1" odxf="1" dxf="1">
    <nc r="C286" t="inlineStr">
      <is>
        <t>05</t>
      </is>
    </nc>
    <ndxf>
      <fill>
        <patternFill patternType="none">
          <bgColor indexed="65"/>
        </patternFill>
      </fill>
    </ndxf>
  </rcc>
  <rfmt sheetId="1" sqref="D286" start="0" length="0">
    <dxf>
      <fill>
        <patternFill patternType="none">
          <bgColor indexed="65"/>
        </patternFill>
      </fill>
    </dxf>
  </rfmt>
  <rfmt sheetId="1" sqref="E286" start="0" length="0">
    <dxf>
      <fill>
        <patternFill patternType="none">
          <bgColor indexed="65"/>
        </patternFill>
      </fill>
    </dxf>
  </rfmt>
  <rfmt sheetId="1" sqref="F286" start="0" length="0">
    <dxf>
      <fill>
        <patternFill patternType="none">
          <bgColor indexed="65"/>
        </patternFill>
      </fill>
    </dxf>
  </rfmt>
  <rcc rId="5603" sId="1">
    <nc r="D286" t="inlineStr">
      <is>
        <t>170F5 52430</t>
      </is>
    </nc>
  </rcc>
  <rcc rId="5604" sId="1" odxf="1" dxf="1">
    <oc r="D287" t="inlineStr">
      <is>
        <t>999F5 52430</t>
      </is>
    </oc>
    <nc r="D287" t="inlineStr">
      <is>
        <t>170F5 52430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5605" sId="1" odxf="1" dxf="1">
    <oc r="D288" t="inlineStr">
      <is>
        <t>999F5 52430</t>
      </is>
    </oc>
    <nc r="D288" t="inlineStr">
      <is>
        <t>170F5 52430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287:D288" start="0" length="2147483647">
    <dxf>
      <font>
        <b val="0"/>
      </font>
    </dxf>
  </rfmt>
  <rfmt sheetId="1" sqref="D287" start="0" length="2147483647">
    <dxf>
      <font>
        <i/>
      </font>
    </dxf>
  </rfmt>
  <rcc rId="5606" sId="1">
    <nc r="F286">
      <f>F287</f>
    </nc>
  </rcc>
  <rcc rId="5607" sId="1">
    <oc r="F285">
      <f>F289</f>
    </oc>
    <nc r="F285">
      <f>F286+F289</f>
    </nc>
  </rcc>
  <rcc rId="5608" sId="1" xfDxf="1" dxf="1">
    <oc r="A287" t="inlineStr">
      <is>
        <t>Строительство и реконструкция (модернизация) объектов питьевого водоснабжения</t>
      </is>
    </oc>
    <nc r="A287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функцион.структура!$A$5:$F$582</formula>
    <oldFormula>функцион.структура!$A$5:$F$582</oldFormula>
  </rdn>
  <rdn rId="0" localSheetId="1" customView="1" name="Z_629918FE_B1DF_464A_BF50_03D18729BC02_.wvu.FilterData" hidden="1" oldHidden="1">
    <formula>функцион.структура!$A$17:$F$589</formula>
    <oldFormula>функцион.структура!$A$17:$F$589</oldFormula>
  </rdn>
  <rcv guid="{629918FE-B1DF-464A-BF50-03D18729BC02}" action="add"/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1" sId="1" numFmtId="4">
    <oc r="F299">
      <v>124184.7</v>
    </oc>
    <nc r="F299">
      <v>132569.29999999999</v>
    </nc>
  </rcc>
  <rcc rId="5612" sId="1" numFmtId="4">
    <oc r="F303">
      <v>22465.171050000001</v>
    </oc>
    <nc r="F303">
      <v>32314.01887</v>
    </nc>
  </rcc>
  <rcc rId="5613" sId="1" numFmtId="4">
    <oc r="F311">
      <v>31012</v>
    </oc>
    <nc r="F311">
      <v>31776.400000000001</v>
    </nc>
  </rcc>
  <rcc rId="5614" sId="1" numFmtId="4">
    <oc r="F313">
      <f>256485.6</f>
    </oc>
    <nc r="F313">
      <v>266218.90000000002</v>
    </nc>
  </rcc>
  <rcc rId="5615" sId="1" numFmtId="4">
    <oc r="F317">
      <v>51715.686000000002</v>
    </oc>
    <nc r="F317">
      <v>75021.319180000006</v>
    </nc>
  </rcc>
  <rcc rId="5616" sId="1" numFmtId="4">
    <oc r="F321">
      <f>109531.5+10620.1+837.8+3492.3</f>
    </oc>
    <nc r="F321">
      <v>131385.20000000001</v>
    </nc>
  </rcc>
  <rcc rId="5617" sId="1" numFmtId="4">
    <oc r="F335">
      <f>8280+436</f>
    </oc>
    <nc r="F335">
      <v>4054.8932</v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18" sId="1" ref="A338:XFD340" action="insertRow"/>
  <rcc rId="5619" sId="1" odxf="1" dxf="1">
    <nc r="A33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38" start="0" length="0">
    <dxf>
      <font>
        <b/>
        <name val="Times New Roman"/>
        <family val="1"/>
      </font>
    </dxf>
  </rfmt>
  <rfmt sheetId="1" sqref="C338" start="0" length="0">
    <dxf>
      <font>
        <b/>
        <name val="Times New Roman"/>
        <family val="1"/>
      </font>
    </dxf>
  </rfmt>
  <rcc rId="5620" sId="1" odxf="1" dxf="1">
    <nc r="D33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338" start="0" length="0">
    <dxf>
      <font>
        <b/>
        <name val="Times New Roman"/>
        <family val="1"/>
      </font>
    </dxf>
  </rfmt>
  <rcc rId="5621" sId="1" odxf="1" dxf="1">
    <nc r="F338">
      <f>F339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G338" start="0" length="0">
    <dxf>
      <font>
        <i val="0"/>
        <name val="Times New Roman CYR"/>
        <family val="1"/>
      </font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K338" start="0" length="0">
    <dxf>
      <font>
        <i val="0"/>
        <name val="Times New Roman CYR"/>
        <family val="1"/>
      </font>
    </dxf>
  </rfmt>
  <rfmt sheetId="1" sqref="L338" start="0" length="0">
    <dxf>
      <font>
        <i val="0"/>
        <name val="Times New Roman CYR"/>
        <family val="1"/>
      </font>
    </dxf>
  </rfmt>
  <rfmt sheetId="1" sqref="M338" start="0" length="0">
    <dxf>
      <font>
        <i val="0"/>
        <name val="Times New Roman CYR"/>
        <family val="1"/>
      </font>
    </dxf>
  </rfmt>
  <rfmt sheetId="1" sqref="N338" start="0" length="0">
    <dxf>
      <font>
        <i val="0"/>
        <name val="Times New Roman CYR"/>
        <family val="1"/>
      </font>
    </dxf>
  </rfmt>
  <rfmt sheetId="1" sqref="O338" start="0" length="0">
    <dxf>
      <font>
        <i val="0"/>
        <name val="Times New Roman CYR"/>
        <family val="1"/>
      </font>
    </dxf>
  </rfmt>
  <rfmt sheetId="1" sqref="P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fmt sheetId="1" sqref="D339" start="0" length="0">
    <dxf>
      <font>
        <i/>
        <name val="Times New Roman"/>
        <family val="1"/>
      </font>
    </dxf>
  </rfmt>
  <rfmt sheetId="1" sqref="E339" start="0" length="0">
    <dxf>
      <font>
        <i/>
        <name val="Times New Roman"/>
        <family val="1"/>
      </font>
    </dxf>
  </rfmt>
  <rfmt sheetId="1" sqref="F339" start="0" length="0">
    <dxf>
      <font>
        <i/>
        <name val="Times New Roman"/>
        <family val="1"/>
      </font>
    </dxf>
  </rfmt>
  <rfmt sheetId="1" sqref="G339" start="0" length="0">
    <dxf>
      <font>
        <i val="0"/>
        <name val="Times New Roman CYR"/>
        <family val="1"/>
      </font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K339" start="0" length="0">
    <dxf>
      <font>
        <i val="0"/>
        <name val="Times New Roman CYR"/>
        <family val="1"/>
      </font>
    </dxf>
  </rfmt>
  <rfmt sheetId="1" sqref="L339" start="0" length="0">
    <dxf>
      <font>
        <i val="0"/>
        <name val="Times New Roman CYR"/>
        <family val="1"/>
      </font>
    </dxf>
  </rfmt>
  <rfmt sheetId="1" sqref="M339" start="0" length="0">
    <dxf>
      <font>
        <i val="0"/>
        <name val="Times New Roman CYR"/>
        <family val="1"/>
      </font>
    </dxf>
  </rfmt>
  <rfmt sheetId="1" sqref="N339" start="0" length="0">
    <dxf>
      <font>
        <i val="0"/>
        <name val="Times New Roman CYR"/>
        <family val="1"/>
      </font>
    </dxf>
  </rfmt>
  <rfmt sheetId="1" sqref="O339" start="0" length="0">
    <dxf>
      <font>
        <i val="0"/>
        <name val="Times New Roman CYR"/>
        <family val="1"/>
      </font>
    </dxf>
  </rfmt>
  <rfmt sheetId="1" sqref="P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fmt sheetId="1" sqref="G340" start="0" length="0">
    <dxf>
      <font>
        <i val="0"/>
        <name val="Times New Roman CYR"/>
        <family val="1"/>
      </font>
    </dxf>
  </rfmt>
  <rfmt sheetId="1" sqref="H340" start="0" length="0">
    <dxf>
      <font>
        <i val="0"/>
        <name val="Times New Roman CYR"/>
        <family val="1"/>
      </font>
    </dxf>
  </rfmt>
  <rfmt sheetId="1" sqref="I340" start="0" length="0">
    <dxf>
      <font>
        <i val="0"/>
        <name val="Times New Roman CYR"/>
        <family val="1"/>
      </font>
    </dxf>
  </rfmt>
  <rfmt sheetId="1" sqref="J340" start="0" length="0">
    <dxf>
      <font>
        <i val="0"/>
        <name val="Times New Roman CYR"/>
        <family val="1"/>
      </font>
    </dxf>
  </rfmt>
  <rfmt sheetId="1" sqref="K340" start="0" length="0">
    <dxf>
      <font>
        <i val="0"/>
        <name val="Times New Roman CYR"/>
        <family val="1"/>
      </font>
    </dxf>
  </rfmt>
  <rfmt sheetId="1" sqref="L340" start="0" length="0">
    <dxf>
      <font>
        <i val="0"/>
        <name val="Times New Roman CYR"/>
        <family val="1"/>
      </font>
    </dxf>
  </rfmt>
  <rfmt sheetId="1" sqref="M340" start="0" length="0">
    <dxf>
      <font>
        <i val="0"/>
        <name val="Times New Roman CYR"/>
        <family val="1"/>
      </font>
    </dxf>
  </rfmt>
  <rfmt sheetId="1" sqref="N340" start="0" length="0">
    <dxf>
      <font>
        <i val="0"/>
        <name val="Times New Roman CYR"/>
        <family val="1"/>
      </font>
    </dxf>
  </rfmt>
  <rfmt sheetId="1" sqref="O340" start="0" length="0">
    <dxf>
      <font>
        <i val="0"/>
        <name val="Times New Roman CYR"/>
        <family val="1"/>
      </font>
    </dxf>
  </rfmt>
  <rfmt sheetId="1" sqref="P340" start="0" length="0">
    <dxf>
      <font>
        <i val="0"/>
        <name val="Times New Roman CYR"/>
        <family val="1"/>
      </font>
    </dxf>
  </rfmt>
  <rfmt sheetId="1" sqref="A340:XFD340" start="0" length="0">
    <dxf>
      <font>
        <i val="0"/>
        <name val="Times New Roman CYR"/>
        <family val="1"/>
      </font>
    </dxf>
  </rfmt>
  <rcc rId="5622" sId="1">
    <nc r="B338" t="inlineStr">
      <is>
        <t>07</t>
      </is>
    </nc>
  </rcc>
  <rcc rId="5623" sId="1">
    <nc r="C338" t="inlineStr">
      <is>
        <t>02</t>
      </is>
    </nc>
  </rcc>
  <rcc rId="5624" sId="1">
    <nc r="B339" t="inlineStr">
      <is>
        <t>07</t>
      </is>
    </nc>
  </rcc>
  <rcc rId="5625" sId="1">
    <nc r="B340" t="inlineStr">
      <is>
        <t>07</t>
      </is>
    </nc>
  </rcc>
  <rcc rId="5626" sId="1">
    <nc r="C340" t="inlineStr">
      <is>
        <t>02</t>
      </is>
    </nc>
  </rcc>
  <rcc rId="5627" sId="1">
    <nc r="C339" t="inlineStr">
      <is>
        <t>02</t>
      </is>
    </nc>
  </rcc>
  <rcc rId="5628" sId="1" numFmtId="4">
    <nc r="F340">
      <v>10056</v>
    </nc>
  </rcc>
  <rcc rId="5629" sId="1">
    <nc r="F339">
      <f>F340</f>
    </nc>
  </rcc>
  <rcc rId="5630" sId="1">
    <nc r="D339" t="inlineStr">
      <is>
        <t>99900 S2140</t>
      </is>
    </nc>
  </rcc>
  <rcc rId="5631" sId="1" odxf="1" dxf="1">
    <nc r="D340" t="inlineStr">
      <is>
        <t>99900 S2140</t>
      </is>
    </nc>
    <ndxf>
      <font>
        <i/>
        <name val="Times New Roman"/>
        <family val="1"/>
      </font>
    </ndxf>
  </rcc>
  <rcc rId="5632" sId="1">
    <nc r="E340" t="inlineStr">
      <is>
        <t>414</t>
      </is>
    </nc>
  </rcc>
  <rcc rId="5633" sId="1" odxf="1" dxf="1">
    <nc r="A339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vertical="center"/>
    </ndxf>
  </rcc>
  <rcc rId="5634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5635" sId="1">
    <oc r="F306">
      <f>F307</f>
    </oc>
    <nc r="F306">
      <f>F307+F338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36" sId="1" numFmtId="4">
    <oc r="F356">
      <v>11850.8</v>
    </oc>
    <nc r="F356">
      <v>12124.8</v>
    </nc>
  </rcc>
  <rcc rId="5637" sId="1" numFmtId="4">
    <oc r="F358">
      <v>13857.7</v>
    </oc>
    <nc r="F358">
      <v>13483.5</v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38" sId="1" ref="A359:XFD362" action="insertRow"/>
  <rfmt sheetId="1" sqref="A359" start="0" length="0">
    <dxf>
      <font>
        <b/>
        <i/>
        <name val="Times New Roman"/>
        <family val="1"/>
      </font>
    </dxf>
  </rfmt>
  <rcc rId="5639" sId="1" odxf="1" dxf="1">
    <nc r="B359" t="inlineStr">
      <is>
        <t>07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40" sId="1" odxf="1" dxf="1">
    <nc r="C359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359" start="0" length="0">
    <dxf>
      <font>
        <b/>
        <i/>
        <name val="Times New Roman"/>
        <family val="1"/>
      </font>
    </dxf>
  </rfmt>
  <rfmt sheetId="1" sqref="E359" start="0" length="0">
    <dxf>
      <font>
        <b/>
        <i/>
        <name val="Times New Roman"/>
        <family val="1"/>
      </font>
    </dxf>
  </rfmt>
  <rcc rId="5641" sId="1" odxf="1" dxf="1">
    <nc r="F359">
      <f>F360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A360" start="0" length="0">
    <dxf>
      <font>
        <i/>
        <name val="Times New Roman"/>
        <family val="1"/>
      </font>
    </dxf>
  </rfmt>
  <rcc rId="5642" sId="1" odxf="1" dxf="1">
    <nc r="B36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43" sId="1" odxf="1" dxf="1">
    <nc r="C36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60" start="0" length="0">
    <dxf>
      <font>
        <i/>
        <name val="Times New Roman"/>
        <family val="1"/>
      </font>
    </dxf>
  </rfmt>
  <rfmt sheetId="1" sqref="E360" start="0" length="0">
    <dxf>
      <font>
        <i/>
        <name val="Times New Roman"/>
        <family val="1"/>
      </font>
    </dxf>
  </rfmt>
  <rfmt sheetId="1" sqref="F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61" start="0" length="0">
    <dxf>
      <alignment vertical="top"/>
    </dxf>
  </rfmt>
  <rcc rId="5644" sId="1">
    <nc r="B361" t="inlineStr">
      <is>
        <t>07</t>
      </is>
    </nc>
  </rcc>
  <rcc rId="5645" sId="1">
    <nc r="C361" t="inlineStr">
      <is>
        <t>03</t>
      </is>
    </nc>
  </rcc>
  <rfmt sheetId="1" sqref="D361" start="0" length="0">
    <dxf>
      <font>
        <i/>
        <name val="Times New Roman"/>
        <family val="1"/>
      </font>
    </dxf>
  </rfmt>
  <rcc rId="5646" sId="1" odxf="1" dxf="1">
    <nc r="F361">
      <f>F362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47" sId="1">
    <nc r="A36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648" sId="1">
    <nc r="B362" t="inlineStr">
      <is>
        <t>07</t>
      </is>
    </nc>
  </rcc>
  <rcc rId="5649" sId="1">
    <nc r="C362" t="inlineStr">
      <is>
        <t>03</t>
      </is>
    </nc>
  </rcc>
  <rcc rId="5650" sId="1">
    <nc r="E362" t="inlineStr">
      <is>
        <t>621</t>
      </is>
    </nc>
  </rcc>
  <rcc rId="5651" sId="1">
    <nc r="D359" t="inlineStr">
      <is>
        <t>08400 00000</t>
      </is>
    </nc>
  </rcc>
  <rcc rId="5652" sId="1">
    <nc r="D360" t="inlineStr">
      <is>
        <t>08401 00000</t>
      </is>
    </nc>
  </rcc>
  <rcc rId="5653" sId="1">
    <nc r="D361" t="inlineStr">
      <is>
        <t>08401 83160</t>
      </is>
    </nc>
  </rcc>
  <rcc rId="5654" sId="1" odxf="1" dxf="1">
    <nc r="D362" t="inlineStr">
      <is>
        <t>08401 83160</t>
      </is>
    </nc>
    <ndxf>
      <font>
        <i/>
        <name val="Times New Roman"/>
        <family val="1"/>
      </font>
    </ndxf>
  </rcc>
  <rcc rId="5655" sId="1" numFmtId="4">
    <nc r="F362">
      <v>30</v>
    </nc>
  </rcc>
  <rcc rId="5656" sId="1">
    <nc r="F360">
      <f>F361</f>
    </nc>
  </rcc>
  <rcc rId="5657" sId="1">
    <oc r="F352">
      <f>F353</f>
    </oc>
    <nc r="F352">
      <f>F353+F359</f>
    </nc>
  </rcc>
  <rcc rId="5658" sId="1" numFmtId="4">
    <oc r="F367">
      <v>814.5</v>
    </oc>
    <nc r="F367">
      <v>7992.2</v>
    </nc>
  </rcc>
  <rcc rId="5659" sId="1" numFmtId="4">
    <oc r="F368">
      <v>1815.8</v>
    </oc>
    <nc r="F368">
      <v>25081.599999999999</v>
    </nc>
  </rcc>
  <rcc rId="5660" sId="1" numFmtId="4">
    <oc r="F370">
      <f>10159.152+11177.7</f>
    </oc>
    <nc r="F370">
      <v>10159.152</v>
    </nc>
  </rcc>
  <rcc rId="5661" sId="1" numFmtId="4">
    <oc r="F371">
      <f>32170.648+27897.7</f>
    </oc>
    <nc r="F371">
      <v>32170.648000000001</v>
    </nc>
  </rcc>
  <rrc rId="5662" sId="1" ref="A372:XFD374" action="insertRow"/>
  <rcc rId="5663" sId="1" odxf="1" dxf="1">
    <nc r="A372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5664" sId="1" odxf="1" dxf="1">
    <nc r="B37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65" sId="1" odxf="1" dxf="1">
    <nc r="C37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72" start="0" length="0">
    <dxf>
      <font>
        <i/>
        <name val="Times New Roman"/>
        <family val="1"/>
      </font>
    </dxf>
  </rfmt>
  <rfmt sheetId="1" sqref="E372" start="0" length="0">
    <dxf>
      <font>
        <i/>
        <name val="Times New Roman"/>
        <family val="1"/>
      </font>
    </dxf>
  </rfmt>
  <rfmt sheetId="1" sqref="F372" start="0" length="0">
    <dxf>
      <font>
        <i/>
        <name val="Times New Roman"/>
        <family val="1"/>
      </font>
    </dxf>
  </rfmt>
  <rcc rId="5666" sId="1" odxf="1" dxf="1">
    <nc r="A37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5667" sId="1">
    <nc r="B373" t="inlineStr">
      <is>
        <t>07</t>
      </is>
    </nc>
  </rcc>
  <rcc rId="5668" sId="1">
    <nc r="C373" t="inlineStr">
      <is>
        <t>03</t>
      </is>
    </nc>
  </rcc>
  <rcc rId="5669" sId="1">
    <nc r="E373" t="inlineStr">
      <is>
        <t>611</t>
      </is>
    </nc>
  </rcc>
  <rcc rId="5670" sId="1" odxf="1" dxf="1">
    <nc r="A37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</border>
    </odxf>
    <ndxf>
      <border outline="0">
        <left style="thin">
          <color indexed="64"/>
        </left>
      </border>
    </ndxf>
  </rcc>
  <rcc rId="5671" sId="1">
    <nc r="B374" t="inlineStr">
      <is>
        <t>07</t>
      </is>
    </nc>
  </rcc>
  <rcc rId="5672" sId="1">
    <nc r="C374" t="inlineStr">
      <is>
        <t>03</t>
      </is>
    </nc>
  </rcc>
  <rcc rId="5673" sId="1">
    <nc r="E374" t="inlineStr">
      <is>
        <t>621</t>
      </is>
    </nc>
  </rcc>
  <rcc rId="5674" sId="1">
    <nc r="D372" t="inlineStr">
      <is>
        <t>10301 S2160</t>
      </is>
    </nc>
  </rcc>
  <rcc rId="5675" sId="1">
    <nc r="D373" t="inlineStr">
      <is>
        <t>10301 S2160</t>
      </is>
    </nc>
  </rcc>
  <rcc rId="5676" sId="1">
    <nc r="D374" t="inlineStr">
      <is>
        <t>10301 S2160</t>
      </is>
    </nc>
  </rcc>
  <rcc rId="5677" sId="1" numFmtId="4">
    <nc r="F373">
      <v>4000</v>
    </nc>
  </rcc>
  <rcc rId="5678" sId="1" numFmtId="4">
    <nc r="F374">
      <v>4631.8999999999996</v>
    </nc>
  </rcc>
  <rcc rId="5679" sId="1">
    <nc r="F372">
      <f>SUM(F373:F374)</f>
    </nc>
  </rcc>
  <rcc rId="5680" sId="1">
    <oc r="F365">
      <f>F366+F369</f>
    </oc>
    <nc r="F365">
      <f>F366+F369+F372</f>
    </nc>
  </rcc>
  <rrc rId="5681" sId="1" ref="A421:XFD421" action="insertRow"/>
  <rfmt sheetId="1" sqref="A421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5682" sId="1">
    <nc r="B421" t="inlineStr">
      <is>
        <t>07</t>
      </is>
    </nc>
  </rcc>
  <rcc rId="5683" sId="1">
    <nc r="C421" t="inlineStr">
      <is>
        <t>09</t>
      </is>
    </nc>
  </rcc>
  <rcc rId="5684" sId="1">
    <nc r="D421" t="inlineStr">
      <is>
        <t>10501 83040</t>
      </is>
    </nc>
  </rcc>
  <rcc rId="5685" sId="1">
    <nc r="E421" t="inlineStr">
      <is>
        <t>112</t>
      </is>
    </nc>
  </rcc>
  <rcc rId="5686" sId="1" numFmtId="4">
    <nc r="F421">
      <v>9.4499999999999993</v>
    </nc>
  </rcc>
  <rcc rId="5687" sId="1" numFmtId="4">
    <oc r="F422">
      <v>118.4</v>
    </oc>
    <nc r="F422">
      <v>108.95</v>
    </nc>
  </rcc>
  <rcc rId="5688" sId="1" numFmtId="4">
    <oc r="F424">
      <v>2561.95811</v>
    </oc>
    <nc r="F424">
      <v>2546.77711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0" sId="1" numFmtId="4">
    <oc r="F411">
      <v>155.78</v>
    </oc>
    <nc r="F411">
      <f>155.78-5.03678</f>
    </nc>
  </rcc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9" sId="1">
    <nc r="A421" t="inlineStr">
      <is>
        <t>Иные выплаты персоналу учреждений, за исключением фонда оплаты труда</t>
      </is>
    </nc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90" sId="1" numFmtId="4">
    <oc r="F463">
      <v>9050.9</v>
    </oc>
    <nc r="F463">
      <v>6118.8990000000003</v>
    </nc>
  </rcc>
  <rrc rId="5691" sId="1" ref="A464:XFD465" action="insertRow"/>
  <rcc rId="5692" sId="1" odxf="1" dxf="1">
    <nc r="A464" t="inlineStr">
      <is>
        <t>На поддержку отрасли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3" sId="1" odxf="1" dxf="1">
    <nc r="B46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4" sId="1" odxf="1" dxf="1">
    <nc r="C46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5" sId="1" odxf="1" dxf="1">
    <nc r="D464" t="inlineStr">
      <is>
        <t>08101 R5190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4" start="0" length="0">
    <dxf>
      <font>
        <i/>
        <name val="Times New Roman"/>
        <family val="1"/>
      </font>
    </dxf>
  </rfmt>
  <rcc rId="5696" sId="1" odxf="1" dxf="1">
    <nc r="F464">
      <f>F465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7" sId="1" odxf="1" dxf="1">
    <nc r="A465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5698" sId="1">
    <nc r="B465" t="inlineStr">
      <is>
        <t>08</t>
      </is>
    </nc>
  </rcc>
  <rcc rId="5699" sId="1">
    <nc r="C465" t="inlineStr">
      <is>
        <t>01</t>
      </is>
    </nc>
  </rcc>
  <rcc rId="5700" sId="1">
    <nc r="D465" t="inlineStr">
      <is>
        <t>08101 R5190</t>
      </is>
    </nc>
  </rcc>
  <rcc rId="5701" sId="1">
    <nc r="E465" t="inlineStr">
      <is>
        <t>612</t>
      </is>
    </nc>
  </rcc>
  <rcc rId="5702" sId="1" numFmtId="4">
    <nc r="F465">
      <v>256.46740999999997</v>
    </nc>
  </rcc>
  <rcc rId="5703" sId="1" numFmtId="4">
    <oc r="F467">
      <v>5374.1559999999999</v>
    </oc>
    <nc r="F467">
      <v>8183.82</v>
    </nc>
  </rcc>
  <rrc rId="5704" sId="1" ref="A466:XFD467" action="insertRow"/>
  <rcc rId="5705" sId="1" odxf="1" dxf="1">
    <nc r="A466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fmt sheetId="1" sqref="B466" start="0" length="0">
    <dxf>
      <font>
        <i/>
        <name val="Times New Roman"/>
        <family val="1"/>
      </font>
    </dxf>
  </rfmt>
  <rfmt sheetId="1" sqref="C466" start="0" length="0">
    <dxf>
      <font>
        <i/>
        <name val="Times New Roman"/>
        <family val="1"/>
      </font>
    </dxf>
  </rfmt>
  <rfmt sheetId="1" sqref="D466" start="0" length="0">
    <dxf>
      <font>
        <i/>
        <name val="Times New Roman"/>
        <family val="1"/>
      </font>
    </dxf>
  </rfmt>
  <rfmt sheetId="1" sqref="E466" start="0" length="0">
    <dxf>
      <font>
        <i/>
        <name val="Times New Roman"/>
        <family val="1"/>
      </font>
    </dxf>
  </rfmt>
  <rfmt sheetId="1" sqref="F466" start="0" length="0">
    <dxf>
      <font>
        <i/>
        <name val="Times New Roman"/>
        <family val="1"/>
      </font>
    </dxf>
  </rfmt>
  <rfmt sheetId="1" sqref="G466" start="0" length="0">
    <dxf>
      <font>
        <i/>
        <name val="Times New Roman CYR"/>
        <family val="1"/>
      </font>
    </dxf>
  </rfmt>
  <rfmt sheetId="1" sqref="H466" start="0" length="0">
    <dxf>
      <font>
        <i/>
        <name val="Times New Roman CYR"/>
        <family val="1"/>
      </font>
    </dxf>
  </rfmt>
  <rfmt sheetId="1" sqref="I466" start="0" length="0">
    <dxf>
      <font>
        <i/>
        <name val="Times New Roman CYR"/>
        <family val="1"/>
      </font>
    </dxf>
  </rfmt>
  <rfmt sheetId="1" sqref="J466" start="0" length="0">
    <dxf>
      <font>
        <i/>
        <name val="Times New Roman CYR"/>
        <family val="1"/>
      </font>
    </dxf>
  </rfmt>
  <rfmt sheetId="1" sqref="K466" start="0" length="0">
    <dxf>
      <font>
        <i/>
        <name val="Times New Roman CYR"/>
        <family val="1"/>
      </font>
    </dxf>
  </rfmt>
  <rfmt sheetId="1" sqref="L466" start="0" length="0">
    <dxf>
      <font>
        <i/>
        <name val="Times New Roman CYR"/>
        <family val="1"/>
      </font>
    </dxf>
  </rfmt>
  <rfmt sheetId="1" sqref="M466" start="0" length="0">
    <dxf>
      <font>
        <i/>
        <name val="Times New Roman CYR"/>
        <family val="1"/>
      </font>
    </dxf>
  </rfmt>
  <rfmt sheetId="1" sqref="N466" start="0" length="0">
    <dxf>
      <font>
        <i/>
        <name val="Times New Roman CYR"/>
        <family val="1"/>
      </font>
    </dxf>
  </rfmt>
  <rfmt sheetId="1" sqref="O466" start="0" length="0">
    <dxf>
      <font>
        <i/>
        <name val="Times New Roman CYR"/>
        <family val="1"/>
      </font>
    </dxf>
  </rfmt>
  <rfmt sheetId="1" sqref="P466" start="0" length="0">
    <dxf>
      <font>
        <i/>
        <name val="Times New Roman CYR"/>
        <family val="1"/>
      </font>
    </dxf>
  </rfmt>
  <rfmt sheetId="1" sqref="A466:XFD466" start="0" length="0">
    <dxf>
      <font>
        <i/>
        <name val="Times New Roman CYR"/>
        <family val="1"/>
      </font>
    </dxf>
  </rfmt>
  <rcc rId="5706" sId="1" odxf="1" dxf="1">
    <nc r="A4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5707" sId="1">
    <nc r="E467" t="inlineStr">
      <is>
        <t>611</t>
      </is>
    </nc>
  </rcc>
  <rfmt sheetId="1" sqref="G467" start="0" length="0">
    <dxf>
      <font>
        <i/>
        <name val="Times New Roman CYR"/>
        <family val="1"/>
      </font>
    </dxf>
  </rfmt>
  <rfmt sheetId="1" sqref="H467" start="0" length="0">
    <dxf>
      <font>
        <i/>
        <name val="Times New Roman CYR"/>
        <family val="1"/>
      </font>
    </dxf>
  </rfmt>
  <rfmt sheetId="1" sqref="I467" start="0" length="0">
    <dxf>
      <font>
        <i/>
        <name val="Times New Roman CYR"/>
        <family val="1"/>
      </font>
    </dxf>
  </rfmt>
  <rfmt sheetId="1" sqref="J467" start="0" length="0">
    <dxf>
      <font>
        <i/>
        <name val="Times New Roman CYR"/>
        <family val="1"/>
      </font>
    </dxf>
  </rfmt>
  <rfmt sheetId="1" sqref="K467" start="0" length="0">
    <dxf>
      <font>
        <i/>
        <name val="Times New Roman CYR"/>
        <family val="1"/>
      </font>
    </dxf>
  </rfmt>
  <rfmt sheetId="1" sqref="L467" start="0" length="0">
    <dxf>
      <font>
        <i/>
        <name val="Times New Roman CYR"/>
        <family val="1"/>
      </font>
    </dxf>
  </rfmt>
  <rfmt sheetId="1" sqref="M467" start="0" length="0">
    <dxf>
      <font>
        <i/>
        <name val="Times New Roman CYR"/>
        <family val="1"/>
      </font>
    </dxf>
  </rfmt>
  <rfmt sheetId="1" sqref="N467" start="0" length="0">
    <dxf>
      <font>
        <i/>
        <name val="Times New Roman CYR"/>
        <family val="1"/>
      </font>
    </dxf>
  </rfmt>
  <rfmt sheetId="1" sqref="O467" start="0" length="0">
    <dxf>
      <font>
        <i/>
        <name val="Times New Roman CYR"/>
        <family val="1"/>
      </font>
    </dxf>
  </rfmt>
  <rfmt sheetId="1" sqref="P467" start="0" length="0">
    <dxf>
      <font>
        <i/>
        <name val="Times New Roman CYR"/>
        <family val="1"/>
      </font>
    </dxf>
  </rfmt>
  <rfmt sheetId="1" sqref="A467:XFD467" start="0" length="0">
    <dxf>
      <font>
        <i/>
        <name val="Times New Roman CYR"/>
        <family val="1"/>
      </font>
    </dxf>
  </rfmt>
  <rcc rId="5708" sId="1">
    <nc r="B466" t="inlineStr">
      <is>
        <t>08</t>
      </is>
    </nc>
  </rcc>
  <rcc rId="5709" sId="1">
    <nc r="C466" t="inlineStr">
      <is>
        <t>01</t>
      </is>
    </nc>
  </rcc>
  <rcc rId="5710" sId="1">
    <nc r="B467" t="inlineStr">
      <is>
        <t>08</t>
      </is>
    </nc>
  </rcc>
  <rcc rId="5711" sId="1">
    <nc r="C467" t="inlineStr">
      <is>
        <t>01</t>
      </is>
    </nc>
  </rcc>
  <rcc rId="5712" sId="1">
    <nc r="D466" t="inlineStr">
      <is>
        <t>08101 S2160</t>
      </is>
    </nc>
  </rcc>
  <rcc rId="5713" sId="1">
    <nc r="D467" t="inlineStr">
      <is>
        <t>08101 S2160</t>
      </is>
    </nc>
  </rcc>
  <rcc rId="5714" sId="1" numFmtId="4">
    <nc r="F467">
      <v>3000</v>
    </nc>
  </rcc>
  <rcc rId="5715" sId="1">
    <nc r="F466">
      <f>F467</f>
    </nc>
  </rcc>
  <rcc rId="5716" sId="1">
    <oc r="F461">
      <f>F466+F462</f>
    </oc>
    <nc r="F461">
      <f>F468+F462+F464+F466</f>
    </nc>
  </rcc>
  <rcc rId="5717" sId="1" numFmtId="4">
    <oc r="F473">
      <f>15922.9-1222</f>
    </oc>
    <nc r="F473">
      <v>8340.9</v>
    </nc>
  </rcc>
  <rcc rId="5718" sId="1" numFmtId="4">
    <oc r="F475">
      <v>9722.6280000000006</v>
    </oc>
    <nc r="F475">
      <v>13605.79</v>
    </nc>
  </rcc>
  <rrc rId="5719" sId="1" ref="A474:XFD477" action="insertRow"/>
  <rcc rId="5720" sId="1" odxf="1" dxf="1">
    <nc r="A47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5721" sId="1" odxf="1" dxf="1">
    <nc r="B4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C4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D474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4" start="0" length="0">
    <dxf>
      <font>
        <i/>
        <name val="Times New Roman"/>
        <family val="1"/>
      </font>
    </dxf>
  </rfmt>
  <rcc rId="5724" sId="1" odxf="1" dxf="1">
    <nc r="F474">
      <f>F475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25" sId="1">
    <nc r="A475" t="inlineStr">
      <is>
        <t>Субсидии автономным учреждениям на иные цели</t>
      </is>
    </nc>
  </rcc>
  <rcc rId="5726" sId="1">
    <nc r="B475" t="inlineStr">
      <is>
        <t>08</t>
      </is>
    </nc>
  </rcc>
  <rcc rId="5727" sId="1">
    <nc r="C475" t="inlineStr">
      <is>
        <t>01</t>
      </is>
    </nc>
  </rcc>
  <rcc rId="5728" sId="1">
    <nc r="D475" t="inlineStr">
      <is>
        <t>08201 L4670</t>
      </is>
    </nc>
  </rcc>
  <rcc rId="5729" sId="1">
    <nc r="E475" t="inlineStr">
      <is>
        <t>622</t>
      </is>
    </nc>
  </rcc>
  <rfmt sheetId="1" sqref="F475" start="0" length="0">
    <dxf>
      <fill>
        <patternFill patternType="none">
          <bgColor indexed="65"/>
        </patternFill>
      </fill>
    </dxf>
  </rfmt>
  <rfmt sheetId="1" sqref="A476" start="0" length="0">
    <dxf>
      <font>
        <i/>
        <name val="Times New Roman"/>
        <family val="1"/>
      </font>
      <alignment vertical="top"/>
    </dxf>
  </rfmt>
  <rcc rId="5730" sId="1" odxf="1" dxf="1">
    <nc r="B47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1" sId="1" odxf="1" dxf="1">
    <nc r="C4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6" start="0" length="0">
    <dxf>
      <font>
        <i/>
        <name val="Times New Roman"/>
        <family val="1"/>
      </font>
    </dxf>
  </rfmt>
  <rfmt sheetId="1" sqref="E476" start="0" length="0">
    <dxf>
      <font>
        <i/>
        <name val="Times New Roman"/>
        <family val="1"/>
      </font>
    </dxf>
  </rfmt>
  <rcc rId="5732" sId="1" odxf="1" dxf="1">
    <nc r="F476">
      <f>F477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33" sId="1">
    <nc r="A47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734" sId="1">
    <nc r="B477" t="inlineStr">
      <is>
        <t>08</t>
      </is>
    </nc>
  </rcc>
  <rcc rId="5735" sId="1">
    <nc r="C477" t="inlineStr">
      <is>
        <t>01</t>
      </is>
    </nc>
  </rcc>
  <rcc rId="5736" sId="1">
    <nc r="E477" t="inlineStr">
      <is>
        <t>621</t>
      </is>
    </nc>
  </rcc>
  <rcc rId="5737" sId="1" numFmtId="4">
    <nc r="F475">
      <v>983.31807000000003</v>
    </nc>
  </rcc>
  <rcc rId="5738" sId="1">
    <nc r="D476" t="inlineStr">
      <is>
        <t>08201 S2160</t>
      </is>
    </nc>
  </rcc>
  <rcc rId="5739" sId="1">
    <nc r="D477" t="inlineStr">
      <is>
        <t>08201 S2160</t>
      </is>
    </nc>
  </rcc>
  <rcc rId="5740" sId="1" numFmtId="4">
    <nc r="F477">
      <v>6000</v>
    </nc>
  </rcc>
  <rcc rId="5741" sId="1" odxf="1" dxf="1">
    <nc r="A476" t="inlineStr">
      <is>
        <t>Софинансирование расходных обязательств муниципальных районов (городских округов)</t>
      </is>
    </nc>
    <ndxf>
      <alignment horizontal="general" vertical="center"/>
    </ndxf>
  </rcc>
  <rcc rId="5742" sId="1">
    <oc r="F471">
      <f>F478+F472</f>
    </oc>
    <nc r="F471">
      <f>F478+F472+F474+F476</f>
    </nc>
  </rcc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3" sId="1" numFmtId="4">
    <oc r="F483">
      <v>1284</v>
    </oc>
    <nc r="F483">
      <v>953.00099999999998</v>
    </nc>
  </rcc>
  <rrc rId="5744" sId="1" ref="A484:XFD484" action="insertRow"/>
  <rcc rId="5745" sId="1">
    <nc r="B484" t="inlineStr">
      <is>
        <t>08</t>
      </is>
    </nc>
  </rcc>
  <rcc rId="5746" sId="1">
    <nc r="C484" t="inlineStr">
      <is>
        <t>01</t>
      </is>
    </nc>
  </rcc>
  <rcc rId="5747" sId="1">
    <nc r="D484" t="inlineStr">
      <is>
        <t>08401 83160</t>
      </is>
    </nc>
  </rcc>
  <rcc rId="5748" sId="1" numFmtId="4">
    <nc r="F484">
      <v>129</v>
    </nc>
  </rcc>
  <rcc rId="5749" sId="1">
    <nc r="E484" t="inlineStr">
      <is>
        <t>622</t>
      </is>
    </nc>
  </rcc>
  <rcc rId="5750" sId="1">
    <oc r="F482">
      <f>SUM(F483:F483)</f>
    </oc>
    <nc r="F482">
      <f>SUM(F483:F484)</f>
    </nc>
  </rcc>
  <rcc rId="5751" sId="1" odxf="1" dxf="1">
    <nc r="A484" t="inlineStr">
      <is>
        <t>Субсидии автономным учреждениям на иные цели</t>
      </is>
    </nc>
    <ndxf>
      <alignment vertical="center"/>
    </ndxf>
  </rcc>
  <rrc rId="5752" sId="1" ref="A485:XFD492" action="insertRow"/>
  <rcc rId="5753" sId="1" odxf="1" dxf="1">
    <nc r="A48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theme="0"/>
        </patternFill>
      </fill>
    </ndxf>
  </rcc>
  <rfmt sheetId="1" sqref="B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5754" sId="1" odxf="1" dxf="1">
    <nc r="D485" t="inlineStr">
      <is>
        <t>22000 00000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85" start="0" length="0">
    <dxf>
      <font>
        <b/>
        <name val="Times New Roman"/>
        <family val="1"/>
      </font>
    </dxf>
  </rfmt>
  <rcc rId="5755" sId="1" odxf="1" dxf="1">
    <nc r="A48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756" sId="1" odxf="1" dxf="1">
    <nc r="B48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57" sId="1" odxf="1" dxf="1">
    <nc r="C48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58" sId="1" odxf="1" dxf="1">
    <nc r="D486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6" start="0" length="0">
    <dxf>
      <font>
        <i/>
        <name val="Times New Roman"/>
        <family val="1"/>
      </font>
    </dxf>
  </rfmt>
  <rcc rId="5759" sId="1" odxf="1" dxf="1">
    <nc r="F486">
      <f>F487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60" sId="1" odxf="1" dxf="1">
    <nc r="A487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761" sId="1" odxf="1" dxf="1">
    <nc r="B48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62" sId="1" odxf="1" dxf="1">
    <nc r="C48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63" sId="1" odxf="1" dxf="1">
    <nc r="D487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7" start="0" length="0">
    <dxf>
      <font>
        <i/>
        <name val="Times New Roman"/>
        <family val="1"/>
      </font>
    </dxf>
  </rfmt>
  <rcc rId="5764" sId="1" odxf="1" dxf="1">
    <nc r="F487">
      <f>F488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65" sId="1" odxf="1" dxf="1">
    <nc r="A4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766" sId="1" odxf="1" dxf="1">
    <nc r="B488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67" sId="1" odxf="1" dxf="1">
    <nc r="C48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68" sId="1">
    <nc r="D488" t="inlineStr">
      <is>
        <t>22001 S5060</t>
      </is>
    </nc>
  </rcc>
  <rcc rId="5769" sId="1" odxf="1" dxf="1">
    <nc r="E488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70" sId="1" odxf="1" dxf="1" numFmtId="4">
    <nc r="F488">
      <v>100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71" sId="1" odxf="1" dxf="1">
    <nc r="A489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489" start="0" length="0">
    <dxf>
      <font>
        <i/>
        <name val="Times New Roman"/>
        <family val="1"/>
      </font>
    </dxf>
  </rfmt>
  <rfmt sheetId="1" sqref="C489" start="0" length="0">
    <dxf>
      <font>
        <i/>
        <name val="Times New Roman"/>
        <family val="1"/>
      </font>
    </dxf>
  </rfmt>
  <rcc rId="5772" sId="1" odxf="1" dxf="1">
    <nc r="D489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9" start="0" length="0">
    <dxf>
      <font>
        <i/>
        <name val="Times New Roman"/>
        <family val="1"/>
      </font>
    </dxf>
  </rfmt>
  <rcc rId="5773" sId="1" odxf="1" dxf="1">
    <nc r="F489">
      <f>F490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4" sId="1" odxf="1" dxf="1">
    <nc r="A49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490" start="0" length="0">
    <dxf>
      <font>
        <i/>
        <name val="Times New Roman"/>
        <family val="1"/>
      </font>
    </dxf>
  </rfmt>
  <rfmt sheetId="1" sqref="C490" start="0" length="0">
    <dxf>
      <font>
        <i/>
        <name val="Times New Roman"/>
        <family val="1"/>
      </font>
    </dxf>
  </rfmt>
  <rcc rId="5775" sId="1" odxf="1" dxf="1">
    <nc r="D490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90" start="0" length="0">
    <dxf>
      <font>
        <i/>
        <name val="Times New Roman"/>
        <family val="1"/>
      </font>
    </dxf>
  </rfmt>
  <rfmt sheetId="1" sqref="F49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491" start="0" length="0">
    <dxf>
      <numFmt numFmtId="30" formatCode="@"/>
      <alignment vertical="top"/>
    </dxf>
  </rfmt>
  <rfmt sheetId="1" sqref="B491" start="0" length="0">
    <dxf>
      <fill>
        <patternFill patternType="solid">
          <bgColor theme="0"/>
        </patternFill>
      </fill>
    </dxf>
  </rfmt>
  <rfmt sheetId="1" sqref="C491" start="0" length="0">
    <dxf>
      <fill>
        <patternFill patternType="solid">
          <bgColor theme="0"/>
        </patternFill>
      </fill>
    </dxf>
  </rfmt>
  <rcc rId="5776" sId="1">
    <nc r="D491" t="inlineStr">
      <is>
        <t>22002 S5060</t>
      </is>
    </nc>
  </rcc>
  <rfmt sheetId="1" sqref="E491" start="0" length="0">
    <dxf>
      <fill>
        <patternFill patternType="solid">
          <bgColor theme="0"/>
        </patternFill>
      </fill>
    </dxf>
  </rfmt>
  <rfmt sheetId="1" sqref="F491" start="0" length="0">
    <dxf>
      <fill>
        <patternFill patternType="none">
          <bgColor indexed="65"/>
        </patternFill>
      </fill>
    </dxf>
  </rfmt>
  <rcc rId="5777" sId="1" odxf="1" dxf="1">
    <nc r="A49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778" sId="1" odxf="1" dxf="1">
    <nc r="B492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79" sId="1" odxf="1" dxf="1">
    <nc r="C492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80" sId="1">
    <nc r="D492" t="inlineStr">
      <is>
        <t>22002 S5060</t>
      </is>
    </nc>
  </rcc>
  <rcc rId="5781" sId="1" odxf="1" dxf="1">
    <nc r="E492" t="inlineStr">
      <is>
        <t>119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492" start="0" length="0">
    <dxf>
      <fill>
        <patternFill patternType="none">
          <bgColor indexed="65"/>
        </patternFill>
      </fill>
    </dxf>
  </rfmt>
  <rcc rId="5782" sId="1">
    <nc r="B485" t="inlineStr">
      <is>
        <t>08</t>
      </is>
    </nc>
  </rcc>
  <rcc rId="5783" sId="1">
    <nc r="C485" t="inlineStr">
      <is>
        <t>01</t>
      </is>
    </nc>
  </rcc>
  <rrc rId="5784" sId="1" ref="A486:XFD486" action="deleteRow">
    <undo index="0" exp="ref" v="1" dr="F486" r="F485" sId="1"/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6">
        <f>F487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785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6">
        <f>F487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786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6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6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787" sId="1">
    <nc r="E488" t="inlineStr">
      <is>
        <t>621</t>
      </is>
    </nc>
  </rcc>
  <rcc rId="5788" sId="1" numFmtId="4">
    <nc r="F488">
      <v>720</v>
    </nc>
  </rcc>
  <rrc rId="5789" sId="1" ref="A489:XFD489" action="deleteRow">
    <undo index="65535" exp="ref" v="1" dr="F489" r="F487" sId="1"/>
    <rfmt sheetId="1" xfDxf="1" sqref="A489:XFD489" start="0" length="0">
      <dxf>
        <font>
          <name val="Times New Roman CYR"/>
          <family val="1"/>
        </font>
        <alignment wrapText="1"/>
      </dxf>
    </rfmt>
    <rcc rId="0" sId="1" dxf="1">
      <nc r="A48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9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9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0" sId="1" odxf="1" dxf="1">
    <nc r="A48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numFmt numFmtId="0" formatCode="General"/>
      <alignment vertical="center"/>
    </ndxf>
  </rcc>
  <rcc rId="5791" sId="1">
    <nc r="F487">
      <f>F488</f>
    </nc>
  </rcc>
  <rcc rId="5792" sId="1">
    <nc r="F485">
      <f>F486</f>
    </nc>
  </rcc>
  <rcc rId="5793" sId="1">
    <nc r="B486" t="inlineStr">
      <is>
        <t>08</t>
      </is>
    </nc>
  </rcc>
  <rcc rId="5794" sId="1">
    <nc r="C486" t="inlineStr">
      <is>
        <t>01</t>
      </is>
    </nc>
  </rcc>
  <rcc rId="5795" sId="1">
    <nc r="B487" t="inlineStr">
      <is>
        <t>08</t>
      </is>
    </nc>
  </rcc>
  <rcc rId="5796" sId="1">
    <nc r="C487" t="inlineStr">
      <is>
        <t>01</t>
      </is>
    </nc>
  </rcc>
  <rcc rId="5797" sId="1">
    <nc r="B488" t="inlineStr">
      <is>
        <t>08</t>
      </is>
    </nc>
  </rcc>
  <rcc rId="5798" sId="1">
    <nc r="C488" t="inlineStr">
      <is>
        <t>01</t>
      </is>
    </nc>
  </rcc>
  <rcc rId="5799" sId="1">
    <oc r="F447">
      <f>F459+F489+F448</f>
    </oc>
    <nc r="F447">
      <f>F459+F489+F448+F485</f>
    </nc>
  </rcc>
  <rrc rId="5800" sId="1" ref="A490:XFD491" action="insertRow"/>
  <rcc rId="5801" sId="1" odxf="1" dxf="1">
    <nc r="A490" t="inlineStr">
      <is>
        <t>Повышение средней заработной платы работников муниципальных учреждений культуры</t>
      </is>
    </nc>
    <odxf>
      <font>
        <b/>
        <i val="0"/>
        <name val="Times New Roman"/>
        <family val="1"/>
      </font>
      <alignment vertical="center"/>
    </odxf>
    <ndxf>
      <font>
        <b val="0"/>
        <i/>
        <name val="Times New Roman"/>
        <family val="1"/>
      </font>
      <alignment vertical="top"/>
    </ndxf>
  </rcc>
  <rcc rId="5802" sId="1" odxf="1" dxf="1">
    <nc r="B490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803" sId="1" odxf="1" dxf="1">
    <nc r="C490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490" start="0" length="0">
    <dxf>
      <font>
        <b val="0"/>
        <i/>
        <name val="Times New Roman"/>
        <family val="1"/>
      </font>
    </dxf>
  </rfmt>
  <rfmt sheetId="1" sqref="E490" start="0" length="0">
    <dxf>
      <font>
        <b val="0"/>
        <i/>
        <name val="Times New Roman"/>
        <family val="1"/>
      </font>
    </dxf>
  </rfmt>
  <rcc rId="5804" sId="1" odxf="1" dxf="1">
    <nc r="F490">
      <f>F491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5805" sId="1" odxf="1" dxf="1">
    <nc r="A491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806" sId="1" odxf="1" dxf="1">
    <nc r="B491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807" sId="1" odxf="1" dxf="1">
    <nc r="C491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91" start="0" length="0">
    <dxf>
      <font>
        <b val="0"/>
        <name val="Times New Roman"/>
        <family val="1"/>
      </font>
    </dxf>
  </rfmt>
  <rcc rId="5808" sId="1" odxf="1" dxf="1">
    <nc r="E491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91" start="0" length="0">
    <dxf>
      <font>
        <b val="0"/>
        <name val="Times New Roman"/>
        <family val="1"/>
      </font>
      <alignment wrapText="1"/>
    </dxf>
  </rfmt>
  <rcc rId="5809" sId="1">
    <nc r="D490" t="inlineStr">
      <is>
        <t>99900 82900</t>
      </is>
    </nc>
  </rcc>
  <rcc rId="5810" sId="1">
    <nc r="D491" t="inlineStr">
      <is>
        <t>99900 82900</t>
      </is>
    </nc>
  </rcc>
  <rcc rId="5811" sId="1" numFmtId="4">
    <nc r="F491">
      <v>100</v>
    </nc>
  </rcc>
  <rcc rId="5812" sId="1" numFmtId="4">
    <oc r="F493">
      <v>5154.2160000000003</v>
    </oc>
    <nc r="F493">
      <v>7336.99</v>
    </nc>
  </rcc>
  <rrc rId="5813" sId="1" ref="A492:XFD493" action="insertRow"/>
  <rfmt sheetId="1" sqref="A492" start="0" length="0">
    <dxf>
      <font>
        <i/>
        <name val="Times New Roman"/>
        <family val="1"/>
      </font>
      <alignment vertical="top"/>
    </dxf>
  </rfmt>
  <rcc rId="5814" sId="1" odxf="1" dxf="1">
    <nc r="B49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5" sId="1" odxf="1" dxf="1">
    <nc r="C49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92" start="0" length="0">
    <dxf>
      <font>
        <i/>
        <name val="Times New Roman"/>
        <family val="1"/>
      </font>
    </dxf>
  </rfmt>
  <rfmt sheetId="1" sqref="E492" start="0" length="0">
    <dxf>
      <font>
        <i/>
        <name val="Times New Roman"/>
        <family val="1"/>
      </font>
    </dxf>
  </rfmt>
  <rcc rId="5816" sId="1" odxf="1" dxf="1">
    <nc r="F492">
      <f>F493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7" sId="1">
    <nc r="B493" t="inlineStr">
      <is>
        <t>08</t>
      </is>
    </nc>
  </rcc>
  <rcc rId="5818" sId="1">
    <nc r="C493" t="inlineStr">
      <is>
        <t>01</t>
      </is>
    </nc>
  </rcc>
  <rcc rId="5819" sId="1">
    <nc r="D492" t="inlineStr">
      <is>
        <t>99900 S2140</t>
      </is>
    </nc>
  </rcc>
  <rcc rId="5820" sId="1">
    <nc r="D493" t="inlineStr">
      <is>
        <t>99900 S2140</t>
      </is>
    </nc>
  </rcc>
  <rcc rId="5821" sId="1">
    <nc r="E493" t="inlineStr">
      <is>
        <t>612</t>
      </is>
    </nc>
  </rcc>
  <rcc rId="5822" sId="1" numFmtId="4">
    <nc r="F493">
      <v>94.2</v>
    </nc>
  </rcc>
  <rcc rId="5823" sId="1" odxf="1" dxf="1">
    <nc r="A49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5824" sId="1" odxf="1" dxf="1">
    <nc r="A49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25" sId="1">
    <oc r="F489">
      <f>F492</f>
    </oc>
    <nc r="F489">
      <f>F494+F490+F492</f>
    </nc>
  </rcc>
  <rcc rId="5826" sId="1" numFmtId="4">
    <oc r="F501">
      <v>639.79999999999995</v>
    </oc>
    <nc r="F501">
      <v>529.79999999999995</v>
    </nc>
  </rcc>
  <rcc rId="5827" sId="1" numFmtId="4">
    <oc r="F502">
      <v>193.2</v>
    </oc>
    <nc r="F502">
      <v>160</v>
    </nc>
  </rcc>
  <rcc rId="5828" sId="1" numFmtId="4">
    <oc r="F504">
      <v>6924.5</v>
    </oc>
    <nc r="F504">
      <v>5725.8</v>
    </nc>
  </rcc>
  <rcc rId="5829" sId="1" numFmtId="4">
    <oc r="F505">
      <v>2091.1999999999998</v>
    </oc>
    <nc r="F505">
      <v>1608.7</v>
    </nc>
  </rcc>
  <rcc rId="5830" sId="1" numFmtId="4">
    <oc r="F506">
      <v>40.700000000000003</v>
    </oc>
    <nc r="F506">
      <v>130.69999999999999</v>
    </nc>
  </rcc>
  <rcc rId="5831" sId="1" numFmtId="4">
    <oc r="F507">
      <v>252</v>
    </oc>
    <nc r="F507">
      <v>369.2</v>
    </nc>
  </rcc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2" sId="1" numFmtId="4">
    <oc r="F539">
      <v>1083.47</v>
    </oc>
    <nc r="F539">
      <v>1174.8699999999999</v>
    </nc>
  </rcc>
  <rcc rId="5833" sId="1" numFmtId="4">
    <oc r="F540">
      <v>346.71</v>
    </oc>
    <nc r="F540">
      <v>374.31</v>
    </nc>
  </rcc>
  <rcc rId="5834" sId="1" numFmtId="4">
    <oc r="F544">
      <v>1626.34</v>
    </oc>
    <nc r="F544">
      <v>1778.74</v>
    </nc>
  </rcc>
  <rcc rId="5835" sId="1" numFmtId="4">
    <oc r="F545">
      <v>490.8</v>
    </oc>
    <nc r="F545">
      <v>536.79999999999995</v>
    </nc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36" sId="1" ref="A564:XFD564" action="insertRow"/>
  <rfmt sheetId="1" sqref="A564" start="0" length="0">
    <dxf>
      <font>
        <i val="0"/>
        <name val="Times New Roman"/>
        <family val="1"/>
      </font>
      <alignment vertical="top"/>
    </dxf>
  </rfmt>
  <rcc rId="5837" sId="1" odxf="1" dxf="1">
    <nc r="B56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838" sId="1" odxf="1" dxf="1">
    <nc r="C56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839" sId="1" odxf="1" dxf="1">
    <nc r="D564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64" start="0" length="0">
    <dxf>
      <font>
        <i val="0"/>
        <name val="Times New Roman"/>
        <family val="1"/>
      </font>
    </dxf>
  </rfmt>
  <rfmt sheetId="1" sqref="F56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5840" sId="1">
    <nc r="E564" t="inlineStr">
      <is>
        <t>112</t>
      </is>
    </nc>
  </rcc>
  <rcc rId="5841" sId="1" numFmtId="4">
    <nc r="F564">
      <v>10</v>
    </nc>
  </rcc>
  <rcc rId="5842" sId="1" numFmtId="4">
    <oc r="F565">
      <v>1250</v>
    </oc>
    <nc r="F565">
      <v>1094.5</v>
    </nc>
  </rcc>
  <rcc rId="5843" sId="1" odxf="1" dxf="1">
    <nc r="A564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5844" sId="1" ref="A566:XFD566" action="insertRow"/>
  <rcc rId="5845" sId="1">
    <nc r="B566" t="inlineStr">
      <is>
        <t>11</t>
      </is>
    </nc>
  </rcc>
  <rcc rId="5846" sId="1">
    <nc r="C566" t="inlineStr">
      <is>
        <t>02</t>
      </is>
    </nc>
  </rcc>
  <rcc rId="5847" sId="1">
    <nc r="D566" t="inlineStr">
      <is>
        <t>09101 82600</t>
      </is>
    </nc>
  </rcc>
  <rcc rId="5848" sId="1">
    <nc r="E566" t="inlineStr">
      <is>
        <t>350</t>
      </is>
    </nc>
  </rcc>
  <rcc rId="5849" sId="1" numFmtId="4">
    <nc r="F566">
      <v>145.5</v>
    </nc>
  </rcc>
  <rcc rId="5850" sId="1">
    <oc r="F563">
      <f>SUM(F565:F565)</f>
    </oc>
    <nc r="F563">
      <f>SUM(F564:F566)</f>
    </nc>
  </rcc>
  <rcc rId="5851" sId="1">
    <nc r="A566" t="inlineStr">
      <is>
        <t>Премии и гранты</t>
      </is>
    </nc>
  </rcc>
  <rcc rId="5852" sId="1" numFmtId="4">
    <oc r="F570">
      <f>676.8+1954.4</f>
    </oc>
    <nc r="F570">
      <v>2666.6</v>
    </nc>
  </rcc>
  <rcc rId="5853" sId="1" numFmtId="4">
    <oc r="F571">
      <f>204.4+590.2</f>
    </oc>
    <nc r="F571">
      <v>805.3</v>
    </nc>
  </rcc>
  <rrc rId="5854" sId="1" ref="A575:XFD576" action="insertRow"/>
  <rfmt sheetId="1" sqref="A575" start="0" length="0">
    <dxf>
      <font>
        <i/>
        <name val="Times New Roman"/>
        <family val="1"/>
      </font>
    </dxf>
  </rfmt>
  <rcc rId="5855" sId="1" odxf="1" dxf="1">
    <nc r="B5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56" sId="1" odxf="1" dxf="1">
    <nc r="C5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75" start="0" length="0">
    <dxf>
      <font>
        <i/>
        <name val="Times New Roman"/>
        <family val="1"/>
      </font>
    </dxf>
  </rfmt>
  <rfmt sheetId="1" sqref="E575" start="0" length="0">
    <dxf>
      <font>
        <i/>
        <name val="Times New Roman"/>
        <family val="1"/>
      </font>
    </dxf>
  </rfmt>
  <rcc rId="5857" sId="1" odxf="1" dxf="1">
    <nc r="F575">
      <f>F576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75" start="0" length="0">
    <dxf>
      <font>
        <i/>
        <name val="Times New Roman CYR"/>
        <family val="1"/>
      </font>
    </dxf>
  </rfmt>
  <rfmt sheetId="1" sqref="H575" start="0" length="0">
    <dxf>
      <font>
        <i/>
        <name val="Times New Roman CYR"/>
        <family val="1"/>
      </font>
    </dxf>
  </rfmt>
  <rfmt sheetId="1" sqref="I575" start="0" length="0">
    <dxf>
      <font>
        <i/>
        <name val="Times New Roman CYR"/>
        <family val="1"/>
      </font>
    </dxf>
  </rfmt>
  <rfmt sheetId="1" sqref="J575" start="0" length="0">
    <dxf>
      <font>
        <i/>
        <name val="Times New Roman CYR"/>
        <family val="1"/>
      </font>
    </dxf>
  </rfmt>
  <rfmt sheetId="1" sqref="K575" start="0" length="0">
    <dxf>
      <font>
        <i/>
        <name val="Times New Roman CYR"/>
        <family val="1"/>
      </font>
    </dxf>
  </rfmt>
  <rfmt sheetId="1" sqref="L575" start="0" length="0">
    <dxf>
      <font>
        <i/>
        <name val="Times New Roman CYR"/>
        <family val="1"/>
      </font>
    </dxf>
  </rfmt>
  <rfmt sheetId="1" sqref="M575" start="0" length="0">
    <dxf>
      <font>
        <i/>
        <name val="Times New Roman CYR"/>
        <family val="1"/>
      </font>
    </dxf>
  </rfmt>
  <rfmt sheetId="1" sqref="N575" start="0" length="0">
    <dxf>
      <font>
        <i/>
        <name val="Times New Roman CYR"/>
        <family val="1"/>
      </font>
    </dxf>
  </rfmt>
  <rfmt sheetId="1" sqref="O575" start="0" length="0">
    <dxf>
      <font>
        <i/>
        <name val="Times New Roman CYR"/>
        <family val="1"/>
      </font>
    </dxf>
  </rfmt>
  <rfmt sheetId="1" sqref="P575" start="0" length="0">
    <dxf>
      <font>
        <i/>
        <name val="Times New Roman CYR"/>
        <family val="1"/>
      </font>
    </dxf>
  </rfmt>
  <rfmt sheetId="1" sqref="A575:XFD575" start="0" length="0">
    <dxf>
      <font>
        <i/>
        <name val="Times New Roman CYR"/>
        <family val="1"/>
      </font>
    </dxf>
  </rfmt>
  <rcc rId="5858" sId="1">
    <nc r="B576" t="inlineStr">
      <is>
        <t>11</t>
      </is>
    </nc>
  </rcc>
  <rcc rId="5859" sId="1">
    <nc r="C576" t="inlineStr">
      <is>
        <t>02</t>
      </is>
    </nc>
  </rcc>
  <rcc rId="5860" sId="1">
    <nc r="D575" t="inlineStr">
      <is>
        <t>99900 S2140</t>
      </is>
    </nc>
  </rcc>
  <rcc rId="5861" sId="1">
    <nc r="D576" t="inlineStr">
      <is>
        <t>99900 S2140</t>
      </is>
    </nc>
  </rcc>
  <rcc rId="5862" sId="1">
    <nc r="E576" t="inlineStr">
      <is>
        <t>414</t>
      </is>
    </nc>
  </rcc>
  <rcc rId="5863" sId="1" numFmtId="4">
    <nc r="F576">
      <v>130.78527</v>
    </nc>
  </rcc>
  <rcc rId="5864" sId="1">
    <oc r="F572">
      <f>F573</f>
    </oc>
    <nc r="F572">
      <f>F573+F575</f>
    </nc>
  </rcc>
  <rcc rId="5865" sId="1" odxf="1" dxf="1">
    <nc r="A57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66" sId="1" odxf="1" dxf="1">
    <nc r="A57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867" sId="1" numFmtId="4">
    <oc r="F582">
      <f>25141.9+1150</f>
    </oc>
    <nc r="F582">
      <v>19291.900000000001</v>
    </nc>
  </rcc>
  <rrc rId="5868" sId="1" ref="A583:XFD584" action="insertRow"/>
  <rfmt sheetId="1" sqref="A583" start="0" length="0">
    <dxf>
      <font>
        <i/>
        <name val="Times New Roman"/>
        <family val="1"/>
      </font>
    </dxf>
  </rfmt>
  <rcc rId="5869" sId="1" odxf="1" dxf="1">
    <nc r="B58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0" sId="1" odxf="1" dxf="1">
    <nc r="C58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83" start="0" length="0">
    <dxf>
      <font>
        <i/>
        <name val="Times New Roman"/>
        <family val="1"/>
      </font>
    </dxf>
  </rfmt>
  <rfmt sheetId="1" sqref="E583" start="0" length="0">
    <dxf>
      <font>
        <i/>
        <name val="Times New Roman"/>
        <family val="1"/>
      </font>
    </dxf>
  </rfmt>
  <rcc rId="5871" sId="1" odxf="1" dxf="1">
    <nc r="F583">
      <f>SUM(F584:F584)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83" start="0" length="0">
    <dxf>
      <font>
        <i val="0"/>
        <name val="Times New Roman CYR"/>
        <family val="1"/>
      </font>
    </dxf>
  </rfmt>
  <rfmt sheetId="1" sqref="H583" start="0" length="0">
    <dxf>
      <font>
        <i val="0"/>
        <name val="Times New Roman CYR"/>
        <family val="1"/>
      </font>
    </dxf>
  </rfmt>
  <rfmt sheetId="1" sqref="I583" start="0" length="0">
    <dxf>
      <font>
        <i val="0"/>
        <name val="Times New Roman CYR"/>
        <family val="1"/>
      </font>
    </dxf>
  </rfmt>
  <rfmt sheetId="1" sqref="J583" start="0" length="0">
    <dxf>
      <font>
        <i val="0"/>
        <name val="Times New Roman CYR"/>
        <family val="1"/>
      </font>
    </dxf>
  </rfmt>
  <rfmt sheetId="1" sqref="K583" start="0" length="0">
    <dxf>
      <font>
        <i val="0"/>
        <name val="Times New Roman CYR"/>
        <family val="1"/>
      </font>
    </dxf>
  </rfmt>
  <rfmt sheetId="1" sqref="L583" start="0" length="0">
    <dxf>
      <font>
        <i val="0"/>
        <name val="Times New Roman CYR"/>
        <family val="1"/>
      </font>
    </dxf>
  </rfmt>
  <rfmt sheetId="1" sqref="M583" start="0" length="0">
    <dxf>
      <font>
        <i val="0"/>
        <name val="Times New Roman CYR"/>
        <family val="1"/>
      </font>
    </dxf>
  </rfmt>
  <rfmt sheetId="1" sqref="N583" start="0" length="0">
    <dxf>
      <font>
        <i val="0"/>
        <name val="Times New Roman CYR"/>
        <family val="1"/>
      </font>
    </dxf>
  </rfmt>
  <rfmt sheetId="1" sqref="O583" start="0" length="0">
    <dxf>
      <font>
        <i val="0"/>
        <name val="Times New Roman CYR"/>
        <family val="1"/>
      </font>
    </dxf>
  </rfmt>
  <rfmt sheetId="1" sqref="P583" start="0" length="0">
    <dxf>
      <font>
        <i val="0"/>
        <name val="Times New Roman CYR"/>
        <family val="1"/>
      </font>
    </dxf>
  </rfmt>
  <rfmt sheetId="1" sqref="A583:XFD583" start="0" length="0">
    <dxf>
      <font>
        <i val="0"/>
        <name val="Times New Roman CYR"/>
        <family val="1"/>
      </font>
    </dxf>
  </rfmt>
  <rcc rId="5872" sId="1">
    <nc r="A58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873" sId="1">
    <nc r="B584" t="inlineStr">
      <is>
        <t>11</t>
      </is>
    </nc>
  </rcc>
  <rcc rId="5874" sId="1">
    <nc r="C584" t="inlineStr">
      <is>
        <t>03</t>
      </is>
    </nc>
  </rcc>
  <rcc rId="5875" sId="1">
    <nc r="E584" t="inlineStr">
      <is>
        <t>611</t>
      </is>
    </nc>
  </rcc>
  <rcc rId="5876" sId="1" numFmtId="4">
    <nc r="F584">
      <v>7000</v>
    </nc>
  </rcc>
  <rcc rId="5877" sId="1">
    <nc r="D584" t="inlineStr">
      <is>
        <t>09301 S2160</t>
      </is>
    </nc>
  </rcc>
  <rcc rId="5878" sId="1">
    <nc r="D583" t="inlineStr">
      <is>
        <t>09301 S2160</t>
      </is>
    </nc>
  </rcc>
  <rcc rId="5879" sId="1" odxf="1" dxf="1">
    <nc r="A583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5880" sId="1">
    <oc r="F580">
      <f>F581+F585</f>
    </oc>
    <nc r="F580">
      <f>F581+F585+F583</f>
    </nc>
  </rcc>
  <rrc rId="5881" sId="1" ref="A587:XFD589" action="insertRow"/>
  <rcc rId="5882" sId="1" odxf="1" dxf="1">
    <nc r="A587" t="inlineStr">
      <is>
        <t>Непрограммные расходы</t>
      </is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5883" sId="1" odxf="1" dxf="1">
    <nc r="B587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587" start="0" length="0">
    <dxf>
      <font>
        <b/>
        <name val="Times New Roman"/>
        <family val="1"/>
      </font>
    </dxf>
  </rfmt>
  <rcc rId="5884" sId="1" odxf="1" dxf="1">
    <nc r="D587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fmt sheetId="1" sqref="E58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587" start="0" length="0">
    <dxf>
      <font>
        <b/>
        <name val="Times New Roman"/>
        <family val="1"/>
      </font>
    </dxf>
  </rfmt>
  <rfmt sheetId="1" sqref="G587" start="0" length="0">
    <dxf>
      <font>
        <b/>
        <name val="Times New Roman CYR"/>
        <family val="1"/>
      </font>
    </dxf>
  </rfmt>
  <rfmt sheetId="1" sqref="H587" start="0" length="0">
    <dxf>
      <font>
        <b/>
        <name val="Times New Roman CYR"/>
        <family val="1"/>
      </font>
    </dxf>
  </rfmt>
  <rfmt sheetId="1" sqref="I587" start="0" length="0">
    <dxf>
      <font>
        <b/>
        <name val="Times New Roman CYR"/>
        <family val="1"/>
      </font>
    </dxf>
  </rfmt>
  <rfmt sheetId="1" sqref="J587" start="0" length="0">
    <dxf>
      <font>
        <b/>
        <name val="Times New Roman CYR"/>
        <family val="1"/>
      </font>
    </dxf>
  </rfmt>
  <rfmt sheetId="1" sqref="K587" start="0" length="0">
    <dxf>
      <font>
        <b/>
        <name val="Times New Roman CYR"/>
        <family val="1"/>
      </font>
    </dxf>
  </rfmt>
  <rfmt sheetId="1" sqref="L587" start="0" length="0">
    <dxf>
      <font>
        <b/>
        <name val="Times New Roman CYR"/>
        <family val="1"/>
      </font>
    </dxf>
  </rfmt>
  <rfmt sheetId="1" sqref="M587" start="0" length="0">
    <dxf>
      <font>
        <b/>
        <name val="Times New Roman CYR"/>
        <family val="1"/>
      </font>
    </dxf>
  </rfmt>
  <rfmt sheetId="1" sqref="N587" start="0" length="0">
    <dxf>
      <font>
        <b/>
        <name val="Times New Roman CYR"/>
        <family val="1"/>
      </font>
    </dxf>
  </rfmt>
  <rfmt sheetId="1" sqref="O587" start="0" length="0">
    <dxf>
      <font>
        <b/>
        <name val="Times New Roman CYR"/>
        <family val="1"/>
      </font>
    </dxf>
  </rfmt>
  <rfmt sheetId="1" sqref="P587" start="0" length="0">
    <dxf>
      <font>
        <b/>
        <name val="Times New Roman CYR"/>
        <family val="1"/>
      </font>
    </dxf>
  </rfmt>
  <rfmt sheetId="1" sqref="A587:XFD587" start="0" length="0">
    <dxf>
      <font>
        <b/>
        <name val="Times New Roman CYR"/>
        <family val="1"/>
      </font>
    </dxf>
  </rfmt>
  <rfmt sheetId="1" sqref="A588" start="0" length="0">
    <dxf>
      <font>
        <i/>
        <name val="Times New Roman"/>
        <family val="1"/>
      </font>
      <alignment vertical="top"/>
    </dxf>
  </rfmt>
  <rcc rId="5885" sId="1" odxf="1" dxf="1">
    <nc r="B58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88" start="0" length="0">
    <dxf>
      <font>
        <i/>
        <name val="Times New Roman"/>
        <family val="1"/>
      </font>
    </dxf>
  </rfmt>
  <rfmt sheetId="1" sqref="D58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E58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5886" sId="1" odxf="1" dxf="1">
    <nc r="F588">
      <f>F589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88" start="0" length="0">
    <dxf>
      <font>
        <i/>
        <name val="Times New Roman CYR"/>
        <family val="1"/>
      </font>
    </dxf>
  </rfmt>
  <rfmt sheetId="1" sqref="H588" start="0" length="0">
    <dxf>
      <font>
        <i/>
        <name val="Times New Roman CYR"/>
        <family val="1"/>
      </font>
    </dxf>
  </rfmt>
  <rfmt sheetId="1" sqref="I588" start="0" length="0">
    <dxf>
      <font>
        <i/>
        <name val="Times New Roman CYR"/>
        <family val="1"/>
      </font>
    </dxf>
  </rfmt>
  <rfmt sheetId="1" sqref="J588" start="0" length="0">
    <dxf>
      <font>
        <i/>
        <name val="Times New Roman CYR"/>
        <family val="1"/>
      </font>
    </dxf>
  </rfmt>
  <rfmt sheetId="1" sqref="K588" start="0" length="0">
    <dxf>
      <font>
        <i/>
        <name val="Times New Roman CYR"/>
        <family val="1"/>
      </font>
    </dxf>
  </rfmt>
  <rfmt sheetId="1" sqref="L588" start="0" length="0">
    <dxf>
      <font>
        <i/>
        <name val="Times New Roman CYR"/>
        <family val="1"/>
      </font>
    </dxf>
  </rfmt>
  <rfmt sheetId="1" sqref="M588" start="0" length="0">
    <dxf>
      <font>
        <i/>
        <name val="Times New Roman CYR"/>
        <family val="1"/>
      </font>
    </dxf>
  </rfmt>
  <rfmt sheetId="1" sqref="N588" start="0" length="0">
    <dxf>
      <font>
        <i/>
        <name val="Times New Roman CYR"/>
        <family val="1"/>
      </font>
    </dxf>
  </rfmt>
  <rfmt sheetId="1" sqref="O588" start="0" length="0">
    <dxf>
      <font>
        <i/>
        <name val="Times New Roman CYR"/>
        <family val="1"/>
      </font>
    </dxf>
  </rfmt>
  <rfmt sheetId="1" sqref="P588" start="0" length="0">
    <dxf>
      <font>
        <i/>
        <name val="Times New Roman CYR"/>
        <family val="1"/>
      </font>
    </dxf>
  </rfmt>
  <rfmt sheetId="1" sqref="A588:XFD588" start="0" length="0">
    <dxf>
      <font>
        <i/>
        <name val="Times New Roman CYR"/>
        <family val="1"/>
      </font>
    </dxf>
  </rfmt>
  <rfmt sheetId="1" sqref="A589" start="0" length="0">
    <dxf>
      <alignment vertical="top"/>
    </dxf>
  </rfmt>
  <rcc rId="5887" sId="1">
    <nc r="B589" t="inlineStr">
      <is>
        <t>11</t>
      </is>
    </nc>
  </rcc>
  <rfmt sheetId="1" sqref="D589" start="0" length="0">
    <dxf>
      <fill>
        <patternFill patternType="solid">
          <bgColor indexed="9"/>
        </patternFill>
      </fill>
    </dxf>
  </rfmt>
  <rfmt sheetId="1" sqref="E589" start="0" length="0">
    <dxf>
      <fill>
        <patternFill patternType="solid">
          <bgColor theme="0"/>
        </patternFill>
      </fill>
    </dxf>
  </rfmt>
  <rcc rId="5888" sId="1">
    <nc r="C587" t="inlineStr">
      <is>
        <t>03</t>
      </is>
    </nc>
  </rcc>
  <rcc rId="5889" sId="1">
    <nc r="C588" t="inlineStr">
      <is>
        <t>03</t>
      </is>
    </nc>
  </rcc>
  <rcc rId="5890" sId="1">
    <nc r="C589" t="inlineStr">
      <is>
        <t>03</t>
      </is>
    </nc>
  </rcc>
  <rcc rId="5891" sId="1">
    <nc r="D589" t="inlineStr">
      <is>
        <t>99900 S2140</t>
      </is>
    </nc>
  </rcc>
  <rcc rId="5892" sId="1">
    <nc r="D588" t="inlineStr">
      <is>
        <t>99900 S2140</t>
      </is>
    </nc>
  </rcc>
  <rcc rId="5893" sId="1">
    <nc r="E589" t="inlineStr">
      <is>
        <t>612</t>
      </is>
    </nc>
  </rcc>
  <rcc rId="5894" sId="1" numFmtId="4">
    <nc r="F589">
      <v>200</v>
    </nc>
  </rcc>
  <rcc rId="5895" sId="1">
    <nc r="F587">
      <f>F588</f>
    </nc>
  </rcc>
  <rcc rId="5896" sId="1" odxf="1" dxf="1">
    <nc r="A58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97" sId="1" odxf="1" dxf="1">
    <nc r="A58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898" sId="1">
    <oc r="F577">
      <f>F578</f>
    </oc>
    <nc r="F577">
      <f>F578+F587</f>
    </nc>
  </rcc>
  <rcc rId="5899" sId="1" numFmtId="4">
    <oc r="F595">
      <v>621.9</v>
    </oc>
    <nc r="F595">
      <v>511.9</v>
    </nc>
  </rcc>
  <rcc rId="5900" sId="1" numFmtId="4">
    <oc r="F596">
      <v>187.8</v>
    </oc>
    <nc r="F596">
      <v>154.6</v>
    </nc>
  </rcc>
  <rcc rId="5901" sId="1" numFmtId="4">
    <oc r="F598">
      <f>1877.4+517.3</f>
    </oc>
    <nc r="F598">
      <v>1767.5</v>
    </nc>
  </rcc>
  <rcc rId="5902" sId="1" numFmtId="4">
    <oc r="F599">
      <f>567+156.2</f>
    </oc>
    <nc r="F599">
      <v>533.79999999999995</v>
    </nc>
  </rcc>
  <rcc rId="5903" sId="1" numFmtId="4">
    <oc r="F600">
      <v>31.8</v>
    </oc>
    <nc r="F600">
      <v>37.799999999999997</v>
    </nc>
  </rcc>
  <rcc rId="5904" sId="1" numFmtId="4">
    <oc r="F601">
      <v>189.95918</v>
    </oc>
    <nc r="F601">
      <v>183.95918</v>
    </nc>
  </rcc>
  <rrc rId="5905" sId="1" ref="A619:XFD624" action="insertRow"/>
  <rcc rId="5906" sId="1" odxf="1" dxf="1">
    <nc r="A619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5907" sId="1" odxf="1" dxf="1">
    <nc r="B619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08" sId="1" odxf="1" dxf="1">
    <nc r="C619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1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1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19" start="0" length="0">
    <dxf>
      <font>
        <b/>
        <name val="Times New Roman"/>
        <family val="1"/>
      </font>
      <fill>
        <patternFill>
          <bgColor indexed="41"/>
        </patternFill>
      </fill>
    </dxf>
  </rfmt>
  <rcc rId="5909" sId="1" odxf="1" dxf="1">
    <nc r="A620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0" sId="1" odxf="1" dxf="1">
    <nc r="B620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1" sId="1" odxf="1" dxf="1">
    <nc r="C62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2" sId="1" odxf="1" dxf="1">
    <nc r="D620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0" start="0" length="0">
    <dxf>
      <numFmt numFmtId="0" formatCode="General"/>
      <alignment horizontal="general" vertical="top"/>
    </dxf>
  </rfmt>
  <rcc rId="5913" sId="1" odxf="1" dxf="1">
    <nc r="F620">
      <f>F621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4" sId="1" odxf="1" dxf="1">
    <nc r="A621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5915" sId="1" odxf="1" dxf="1">
    <nc r="B621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916" sId="1" odxf="1" dxf="1">
    <nc r="C621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917" sId="1" odxf="1" dxf="1">
    <nc r="D621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621" start="0" length="0">
    <dxf>
      <numFmt numFmtId="0" formatCode="General"/>
      <alignment horizontal="general" vertical="top"/>
    </dxf>
  </rfmt>
  <rcc rId="5918" sId="1" odxf="1" dxf="1">
    <nc r="F621">
      <f>F622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9" sId="1" odxf="1" dxf="1">
    <nc r="A622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0" sId="1" odxf="1" dxf="1">
    <nc r="B622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C62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 odxf="1" dxf="1">
    <nc r="D622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2" start="0" length="0">
    <dxf>
      <numFmt numFmtId="0" formatCode="General"/>
      <alignment horizontal="general" vertical="top"/>
    </dxf>
  </rfmt>
  <rcc rId="5923" sId="1" odxf="1" dxf="1">
    <nc r="F622">
      <f>F623+F635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4" sId="1" odxf="1" dxf="1">
    <nc r="A623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5" sId="1" odxf="1" dxf="1">
    <nc r="B62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6" sId="1" odxf="1" dxf="1">
    <nc r="C62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7" sId="1" odxf="1" dxf="1">
    <nc r="D623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3" start="0" length="0">
    <dxf>
      <font>
        <i/>
        <name val="Times New Roman"/>
        <family val="1"/>
      </font>
    </dxf>
  </rfmt>
  <rcc rId="5928" sId="1" odxf="1" dxf="1">
    <nc r="F623">
      <f>F624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9" sId="1">
    <nc r="A624" t="inlineStr">
      <is>
        <t>Иные межбюджетные трансферты</t>
      </is>
    </nc>
  </rcc>
  <rcc rId="5930" sId="1">
    <nc r="B624" t="inlineStr">
      <is>
        <t>14</t>
      </is>
    </nc>
  </rcc>
  <rcc rId="5931" sId="1">
    <nc r="C624" t="inlineStr">
      <is>
        <t>03</t>
      </is>
    </nc>
  </rcc>
  <rcc rId="5932" sId="1">
    <nc r="D624" t="inlineStr">
      <is>
        <t>02201 63010</t>
      </is>
    </nc>
  </rcc>
  <rcc rId="5933" sId="1">
    <nc r="E624" t="inlineStr">
      <is>
        <t>540</t>
      </is>
    </nc>
  </rcc>
  <rcc rId="5934" sId="1" numFmtId="4">
    <nc r="F624">
      <v>5800</v>
    </nc>
  </rcc>
  <rcc rId="5935" sId="1">
    <nc r="F619">
      <f>F620</f>
    </nc>
  </rcc>
  <rcc rId="5936" sId="1">
    <oc r="F610">
      <f>F611</f>
    </oc>
    <nc r="F610">
      <f>F611+F619</f>
    </nc>
  </rcc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7" sId="1" numFmtId="4">
    <oc r="F628">
      <v>2352224.9559999998</v>
    </oc>
    <nc r="F628">
      <v>2755259.64597</v>
    </nc>
  </rcc>
  <rrc rId="5938" sId="1" ref="A625:XFD629" action="insertRow"/>
  <rcc rId="5939" sId="1" odxf="1" dxf="1">
    <nc r="A625" t="inlineStr">
      <is>
        <t>Непрограммные расходы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5940" sId="1" odxf="1" dxf="1">
    <nc r="B625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5941" sId="1" odxf="1" dxf="1">
    <nc r="C62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5942" sId="1" odxf="1" dxf="1">
    <nc r="D62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5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625" start="0" length="0">
    <dxf>
      <font>
        <b/>
        <name val="Times New Roman"/>
        <family val="1"/>
      </font>
    </dxf>
  </rfmt>
  <rcc rId="5943" sId="1" odxf="1" dxf="1">
    <nc r="A62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</odxf>
    <ndxf>
      <font>
        <i/>
        <color indexed="8"/>
        <name val="Times New Roman"/>
        <family val="1"/>
      </font>
    </ndxf>
  </rcc>
  <rcc rId="5944" sId="1" odxf="1" dxf="1">
    <nc r="B62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45" sId="1" odxf="1" dxf="1">
    <nc r="C62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46" sId="1" odxf="1" dxf="1">
    <nc r="D62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6" start="0" length="0">
    <dxf>
      <font>
        <i/>
        <name val="Times New Roman"/>
        <family val="1"/>
      </font>
    </dxf>
  </rfmt>
  <rcc rId="5947" sId="1" odxf="1" dxf="1">
    <nc r="F626">
      <f>F627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948" sId="1" odxf="1" dxf="1">
    <nc r="A627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5949" sId="1">
    <nc r="B627" t="inlineStr">
      <is>
        <t>14</t>
      </is>
    </nc>
  </rcc>
  <rcc rId="5950" sId="1">
    <nc r="C627" t="inlineStr">
      <is>
        <t>03</t>
      </is>
    </nc>
  </rcc>
  <rcc rId="5951" sId="1">
    <nc r="D627" t="inlineStr">
      <is>
        <t>99900 55493</t>
      </is>
    </nc>
  </rcc>
  <rcc rId="5952" sId="1">
    <nc r="E627" t="inlineStr">
      <is>
        <t>540</t>
      </is>
    </nc>
  </rcc>
  <rfmt sheetId="1" sqref="F627" start="0" length="0">
    <dxf>
      <fill>
        <patternFill patternType="none">
          <bgColor indexed="65"/>
        </patternFill>
      </fill>
    </dxf>
  </rfmt>
  <rcc rId="5953" sId="1" odxf="1" dxf="1">
    <nc r="A62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5954" sId="1" odxf="1" dxf="1">
    <nc r="B628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5" sId="1" odxf="1" dxf="1">
    <nc r="C62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6" sId="1" odxf="1" dxf="1">
    <nc r="D628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8" start="0" length="0">
    <dxf>
      <font>
        <i/>
        <name val="Times New Roman"/>
        <family val="1"/>
      </font>
    </dxf>
  </rfmt>
  <rcc rId="5957" sId="1" odxf="1" dxf="1">
    <nc r="F628">
      <f>F629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8" sId="1" odxf="1" dxf="1">
    <nc r="A629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5959" sId="1">
    <nc r="B629" t="inlineStr">
      <is>
        <t>14</t>
      </is>
    </nc>
  </rcc>
  <rcc rId="5960" sId="1">
    <nc r="C629" t="inlineStr">
      <is>
        <t>03</t>
      </is>
    </nc>
  </rcc>
  <rcc rId="5961" sId="1">
    <nc r="D629" t="inlineStr">
      <is>
        <t>99900 S2140</t>
      </is>
    </nc>
  </rcc>
  <rcc rId="5962" sId="1">
    <nc r="E629" t="inlineStr">
      <is>
        <t>540</t>
      </is>
    </nc>
  </rcc>
  <rfmt sheetId="1" sqref="G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29:XFD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rc rId="5963" sId="1" ref="A626:XFD626" action="deleteRow">
    <undo index="65535" exp="ref" v="1" dr="F626" r="F625" sId="1"/>
    <rfmt sheetId="1" xfDxf="1" sqref="A626:XFD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6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6" t="inlineStr">
        <is>
          <t>99900 55493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6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6">
        <f>F627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64" sId="1" ref="A626:XFD626" action="deleteRow">
    <rfmt sheetId="1" xfDxf="1" sqref="A626:XFD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6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6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6" t="inlineStr">
        <is>
          <t>99900 55493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6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6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65" sId="1">
    <nc r="F625">
      <f>F626</f>
    </nc>
  </rcc>
  <rcc rId="5966" sId="1" numFmtId="4">
    <nc r="F627">
      <v>2811.1154499999998</v>
    </nc>
  </rcc>
  <rcc rId="5967" sId="1">
    <oc r="F619">
      <f>F620</f>
    </oc>
    <nc r="F619">
      <f>F620+F625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8" sId="1" numFmtId="4">
    <oc r="F441">
      <v>100</v>
    </oc>
    <nc r="F441"/>
  </rcc>
  <rcc rId="5969" sId="1" numFmtId="4">
    <oc r="F444">
      <v>200</v>
    </oc>
    <nc r="F444"/>
  </rcc>
  <rcc rId="5970" sId="1" numFmtId="4">
    <oc r="F445">
      <v>60</v>
    </oc>
    <nc r="F445"/>
  </rcc>
  <rrc rId="5971" sId="1" ref="A438:XFD438" action="deleteRow">
    <undo index="65535" exp="ref" v="1" dr="F438" r="F405" sId="1"/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F439+F442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2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3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4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75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6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F439+F440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7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78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79" sId="1">
    <oc r="F405">
      <f>F406+#REF!</f>
    </oc>
    <nc r="F405">
      <f>F406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0" sId="1">
    <nc r="A359" t="inlineStr">
      <is>
        <t>Подпрограмма «Другие вопросы в области культуры»</t>
      </is>
    </nc>
  </rcc>
  <rcc rId="5981" sId="1">
    <nc r="A360" t="inlineStr">
      <is>
        <t>Основное мероприятие "Организация и проведение праздничных мероприятий"</t>
      </is>
    </nc>
  </rcc>
  <rcc rId="5982" sId="1" odxf="1" dxf="1">
    <nc r="A361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3" sId="1">
    <oc r="F140">
      <v>400.59138999999999</v>
    </oc>
    <nc r="F140">
      <f>400.59139+6700</f>
    </nc>
  </rcc>
  <rcc rId="5984" sId="1" numFmtId="4">
    <oc r="F623">
      <v>2755259.64597</v>
    </oc>
    <nc r="F623">
      <f>2755259.64597+6700</f>
    </nc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85" sId="1" ref="A277:XFD277" action="insertRow"/>
  <rrc rId="5986" sId="1" ref="A275:XFD275" action="insertRow"/>
  <rfmt sheetId="1" sqref="A275" start="0" length="0">
    <dxf>
      <font>
        <i val="0"/>
        <color indexed="8"/>
        <name val="Times New Roman"/>
        <family val="1"/>
      </font>
      <alignment horizontal="left" vertical="center"/>
    </dxf>
  </rfmt>
  <rcc rId="5987" sId="1" odxf="1" dxf="1">
    <nc r="B27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C27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9" sId="1" odxf="1" dxf="1">
    <nc r="D27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75" start="0" length="0">
    <dxf>
      <font>
        <i val="0"/>
        <name val="Times New Roman"/>
        <family val="1"/>
      </font>
    </dxf>
  </rfmt>
  <rfmt sheetId="1" sqref="F275" start="0" length="0">
    <dxf>
      <font>
        <i val="0"/>
        <name val="Times New Roman"/>
        <family val="1"/>
      </font>
    </dxf>
  </rfmt>
  <rfmt sheetId="1" sqref="A278" start="0" length="0">
    <dxf>
      <font>
        <i val="0"/>
        <color indexed="8"/>
        <name val="Times New Roman"/>
        <family val="1"/>
      </font>
      <alignment horizontal="left" vertical="center"/>
    </dxf>
  </rfmt>
  <rcc rId="5990" sId="1" odxf="1" dxf="1">
    <nc r="B27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1" sId="1" odxf="1" dxf="1">
    <nc r="C27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2" sId="1" odxf="1" dxf="1">
    <nc r="D27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78" start="0" length="0">
    <dxf>
      <font>
        <i val="0"/>
        <name val="Times New Roman"/>
        <family val="1"/>
      </font>
    </dxf>
  </rfmt>
  <rfmt sheetId="1" sqref="F278" start="0" length="0">
    <dxf>
      <font>
        <i val="0"/>
        <name val="Times New Roman"/>
        <family val="1"/>
      </font>
    </dxf>
  </rfmt>
  <rcc rId="5993" sId="1" numFmtId="4">
    <nc r="F278">
      <f>F279</f>
    </nc>
  </rcc>
  <rcc rId="5994" sId="1">
    <oc r="F277">
      <f>F279</f>
    </oc>
    <nc r="F277">
      <f>F278</f>
    </nc>
  </rcc>
  <rcc rId="5995" sId="1" numFmtId="4">
    <nc r="F275">
      <f>F276</f>
    </nc>
  </rcc>
  <rcc rId="5996" sId="1">
    <oc r="F274">
      <f>F276</f>
    </oc>
    <nc r="F274">
      <f>F275</f>
    </nc>
  </rcc>
  <rfmt sheetId="1" sqref="A275:F275" start="0" length="2147483647">
    <dxf>
      <font>
        <i/>
      </font>
    </dxf>
  </rfmt>
  <rfmt sheetId="1" sqref="A278:F278" start="0" length="2147483647">
    <dxf>
      <font>
        <i/>
      </font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1" sId="1">
    <oc r="F63">
      <f>469.4+35.30322</f>
    </oc>
    <nc r="F63">
      <f>469.4</f>
    </nc>
  </rcc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7" sId="1" odxf="1" dxf="1">
    <nc r="A27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5998" sId="1" odxf="1" dxf="1">
    <nc r="A278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01" sId="1">
    <oc r="F3" t="inlineStr">
      <is>
        <t>от     марта 2023  № ____</t>
      </is>
    </oc>
    <nc r="F3" t="inlineStr">
      <is>
        <t>от 17  марта 2023  № 245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функцион.структура!$A$1:$F$622</formula>
    <oldFormula>функцион.структура!$A$5:$F$622</oldFormula>
  </rdn>
  <rdn rId="0" localSheetId="1" customView="1" name="Z_629918FE_B1DF_464A_BF50_03D18729BC02_.wvu.FilterData" hidden="1" oldHidden="1">
    <formula>функцион.структура!$A$17:$F$629</formula>
    <oldFormula>функцион.структура!$A$17:$F$629</oldFormula>
  </rdn>
  <rcv guid="{629918FE-B1DF-464A-BF50-03D18729BC02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2" sId="1">
    <oc r="F58">
      <f>SUM(F59:F63)</f>
    </oc>
    <nc r="F58">
      <f>SUM(F59:F63)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" sId="1" numFmtId="4">
    <oc r="F303">
      <v>8711.7999999999993</v>
    </oc>
    <nc r="F303">
      <v>26548.07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699" sheetId="1" oldName="[Приложение № 5 функциональная 2022.xlsx]Ведом.структура" newName="[Приложение № 5 функциональная 2022.xlsx]функцион.структура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4" sId="1" odxf="1" dxf="1" numFmtId="4">
    <oc r="F297">
      <v>8458.2999999999993</v>
    </oc>
    <nc r="F297">
      <v>8711.7999999999993</v>
    </nc>
    <odxf/>
    <ndxf/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5" sId="1" ref="A472:XFD472" action="insertRow"/>
  <rcc rId="906" sId="1">
    <nc r="B472" t="inlineStr">
      <is>
        <t>11</t>
      </is>
    </nc>
  </rcc>
  <rcc rId="907" sId="1">
    <nc r="C472" t="inlineStr">
      <is>
        <t>02</t>
      </is>
    </nc>
  </rcc>
  <rcc rId="908" sId="1">
    <nc r="D472" t="inlineStr">
      <is>
        <t>094P5 51390</t>
      </is>
    </nc>
  </rcc>
  <rcc rId="909" sId="1" numFmtId="4">
    <nc r="F472">
      <v>25156.799999999999</v>
    </nc>
  </rcc>
  <rcc rId="910" sId="1" xfDxf="1" dxf="1">
    <oc r="F471">
      <v>25156.799999999999</v>
    </oc>
    <nc r="F471">
      <f>F472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1" sId="1" ref="A470:XFD470" action="insertRow"/>
  <rcc rId="912" sId="1">
    <nc r="E473" t="inlineStr">
      <is>
        <t>244</t>
      </is>
    </nc>
  </rcc>
  <rcc rId="913" sId="1" odxf="1" dxf="1">
    <nc r="A470" t="inlineStr">
      <is>
        <t>Основное мероприятие «Обеспечение жильем молодых семей»</t>
      </is>
    </nc>
    <odxf>
      <font>
        <b/>
        <name val="Times New Roman"/>
        <scheme val="none"/>
      </font>
      <alignment horizontal="general" readingOrder="0"/>
      <border outline="0">
        <left/>
        <right/>
        <top/>
        <bottom/>
      </border>
    </odxf>
    <ndxf>
      <font>
        <b val="0"/>
        <name val="Times New Roman"/>
        <scheme val="none"/>
      </font>
      <alignment horizontal="left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14" sId="1" odxf="1" dxf="1">
    <nc r="D470" t="inlineStr">
      <is>
        <t>09501 00000</t>
      </is>
    </nc>
    <odxf>
      <font>
        <b/>
        <name val="Times New Roman"/>
        <scheme val="none"/>
      </font>
      <fill>
        <patternFill patternType="solid">
          <bgColor indexed="9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915" sId="1">
    <nc r="B470" t="inlineStr">
      <is>
        <t>11</t>
      </is>
    </nc>
  </rcc>
  <rcc rId="916" sId="1">
    <nc r="C470" t="inlineStr">
      <is>
        <t>02</t>
      </is>
    </nc>
  </rcc>
  <rcc rId="917" sId="1" xfDxf="1" dxf="1">
    <nc r="F470">
      <f>F471</f>
    </nc>
    <ndxf>
      <font>
        <b/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470" start="0" length="2147483647">
    <dxf>
      <font>
        <b val="0"/>
      </font>
    </dxf>
  </rfmt>
  <rcc rId="918" sId="1" odxf="1" dxf="1">
    <nc r="A473" t="inlineStr">
      <is>
        <t>Прочие закупки товаров, работ и услуг для государственных (муниципальных) нужд</t>
      </is>
    </nc>
    <odxf>
      <font>
        <i/>
        <color rgb="FF000000"/>
        <name val="Times New Roman"/>
        <scheme val="none"/>
      </font>
      <alignment horizontal="general" vertical="top" readingOrder="0"/>
      <border outline="0">
        <left/>
        <right/>
        <top/>
        <bottom/>
      </border>
    </odxf>
    <ndxf>
      <font>
        <i val="0"/>
        <color indexed="8"/>
        <name val="Times New Roman"/>
        <scheme val="none"/>
      </font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функцион.структура!$A$1:$F$514</formula>
    <oldFormula>функцион.структура!$A$1:$F$514</oldFormula>
  </rdn>
  <rdn rId="0" localSheetId="1" customView="1" name="Z_629918FE_B1DF_464A_BF50_03D18729BC02_.wvu.FilterData" hidden="1" oldHidden="1">
    <formula>функцион.структура!$A$17:$K$521</formula>
    <oldFormula>функцион.структура!$A$17:$K$521</oldFormula>
  </rdn>
  <rcv guid="{629918FE-B1DF-464A-BF50-03D18729BC02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1" sId="1" odxf="1" dxf="1">
    <oc r="A470" t="inlineStr">
      <is>
        <t>Основное мероприятие «Обеспечение жильем молодых семей»</t>
      </is>
    </oc>
    <nc r="A470" t="inlineStr">
      <is>
        <t>Основное мероприятие "Расходы, связанные с выполнением деятельности учреждений физической культуры и спорта"</t>
      </is>
    </nc>
    <odxf>
      <alignment horizontal="left" readingOrder="0"/>
    </odxf>
    <ndxf>
      <alignment horizontal="general" readingOrder="0"/>
    </ndxf>
  </rcc>
  <rrc rId="922" sId="1" ref="A489:XFD489" action="insertRow"/>
  <rrc rId="923" sId="1" ref="A489:XFD489" action="insertRow"/>
  <rrc rId="924" sId="1" ref="A489:XFD489" action="insertRow"/>
  <rcc rId="925" sId="1" odxf="1" dxf="1">
    <nc r="B489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89" start="0" length="0">
    <dxf>
      <font>
        <i val="0"/>
        <name val="Times New Roman"/>
        <scheme val="none"/>
      </font>
    </dxf>
  </rfmt>
  <rcc rId="926" sId="1" odxf="1" dxf="1">
    <nc r="D489" t="inlineStr">
      <is>
        <t>094P5 00000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927" sId="1" odxf="1" dxf="1">
    <nc r="B490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90" start="0" length="0">
    <dxf>
      <font>
        <i val="0"/>
        <name val="Times New Roman"/>
        <scheme val="none"/>
      </font>
    </dxf>
  </rfmt>
  <rcc rId="928" sId="1">
    <nc r="D490" t="inlineStr">
      <is>
        <t>094P5 51390</t>
      </is>
    </nc>
  </rcc>
  <rcc rId="929" sId="1" odxf="1" dxf="1">
    <nc r="B491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91" start="0" length="0">
    <dxf>
      <font>
        <i val="0"/>
        <name val="Times New Roman"/>
        <scheme val="none"/>
      </font>
    </dxf>
  </rfmt>
  <rcc rId="930" sId="1">
    <nc r="D491" t="inlineStr">
      <is>
        <t>094P5 51390</t>
      </is>
    </nc>
  </rcc>
  <rcc rId="931" sId="1">
    <nc r="C489" t="inlineStr">
      <is>
        <t>05</t>
      </is>
    </nc>
  </rcc>
  <rcc rId="932" sId="1">
    <nc r="C490" t="inlineStr">
      <is>
        <t>05</t>
      </is>
    </nc>
  </rcc>
  <rcc rId="933" sId="1">
    <nc r="C491" t="inlineStr">
      <is>
        <t>05</t>
      </is>
    </nc>
  </rcc>
  <rcc rId="934" sId="1" odxf="1" dxf="1">
    <nc r="A489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odxf>
      <font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scheme val="none"/>
      </font>
      <alignment horizontal="justify" readingOrder="0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cc rId="935" sId="1" odxf="1" dxf="1">
    <nc r="A490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o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scheme val="none"/>
      </font>
      <alignment vertical="top" readingOrder="0"/>
      <border outline="0">
        <left/>
        <right/>
        <top/>
        <bottom/>
      </border>
    </ndxf>
  </rcc>
  <rcc rId="936" sId="1" odxf="1" dxf="1">
    <nc r="A491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scheme val="none"/>
      </font>
      <alignment horizontal="general" readingOrder="0"/>
    </odxf>
    <ndxf>
      <font>
        <i val="0"/>
        <color indexed="8"/>
        <name val="Times New Roman"/>
        <scheme val="none"/>
      </font>
      <alignment horizontal="left" readingOrder="0"/>
    </ndxf>
  </rcc>
  <rcc rId="937" sId="1">
    <nc r="E491" t="inlineStr">
      <is>
        <t>244</t>
      </is>
    </nc>
  </rcc>
  <rcc rId="938" sId="1" odxf="1" dxf="1" numFmtId="4">
    <nc r="F491">
      <v>25156.799999999999</v>
    </nc>
    <odxf>
      <font>
        <i/>
        <name val="Times New Roman"/>
        <scheme val="none"/>
      </font>
      <fill>
        <patternFill patternType="none">
          <bgColor indexed="65"/>
        </patternFill>
      </fill>
    </odxf>
    <ndxf>
      <font>
        <i val="0"/>
        <name val="Times New Roman"/>
        <scheme val="none"/>
      </font>
      <fill>
        <patternFill patternType="solid">
          <bgColor theme="0"/>
        </patternFill>
      </fill>
    </ndxf>
  </rcc>
  <rcc rId="939" sId="1" xfDxf="1" dxf="1">
    <nc r="F490">
      <f>F491</f>
    </nc>
    <ndxf>
      <font>
        <i/>
        <name val="Times New Roman"/>
        <scheme val="none"/>
      </font>
      <numFmt numFmtId="164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0" sId="1" xfDxf="1" dxf="1">
    <nc r="F489">
      <f>F490</f>
    </nc>
    <ndxf>
      <font>
        <i/>
        <name val="Times New Roman"/>
        <scheme val="none"/>
      </font>
      <numFmt numFmtId="164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1" sId="1" numFmtId="4">
    <nc r="F500">
      <v>0</v>
    </nc>
  </rcc>
  <rcc rId="942" sId="1">
    <oc r="F488">
      <f>F492</f>
    </oc>
    <nc r="F488">
      <f>F492+F489+F495</f>
    </nc>
  </rcc>
  <rcc rId="943" sId="1">
    <oc r="F487">
      <f>F492+F495</f>
    </oc>
    <nc r="F487">
      <f>F492+F495+F489</f>
    </nc>
  </rcc>
  <rcc rId="944" sId="1" numFmtId="4">
    <oc r="F473">
      <v>25156.799999999999</v>
    </oc>
    <nc r="F473">
      <v>0</v>
    </nc>
  </rcc>
  <rcc rId="945" sId="1">
    <oc r="F459">
      <f>F460+F465+F469</f>
    </oc>
    <nc r="F459">
      <f>F460+F465</f>
    </nc>
  </rcc>
  <rrc rId="946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09400 00000</t>
        </is>
      </nc>
      <ndxf>
        <font>
          <b/>
          <i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F471</f>
      </nc>
      <ndxf>
        <font>
          <b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7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09501 00000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8" sId="1" ref="A469:XFD469" action="deleteRow">
    <undo index="7" exp="ref" v="1" dr="F469" r="H470" sId="1"/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scheme val="none"/>
        </font>
        <alignment horizontal="justify" vertical="center" readingOrder="0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00000</t>
        </is>
      </nc>
      <ndxf>
        <font>
          <i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9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scheme val="none"/>
        </font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51390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  <rcc rId="0" sId="1" dxf="1">
      <nc r="H469">
        <f>F322+F326+F463+F466+#REF!+F474+F482</f>
      </nc>
      <ndxf>
        <numFmt numFmtId="164" formatCode="0.00000"/>
      </ndxf>
    </rcc>
  </rrc>
  <rrc rId="950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51390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9" t="inlineStr">
        <is>
          <t>244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9">
        <v>0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  <rfmt sheetId="1" sqref="H469" start="0" length="0">
      <dxf>
        <numFmt numFmtId="164" formatCode="0.00000"/>
      </dxf>
    </rfmt>
  </rr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19:D321" start="0" length="2147483647">
    <dxf>
      <font>
        <i val="0"/>
      </font>
    </dxf>
  </rfmt>
  <rfmt sheetId="1" sqref="D319:D321" start="0" length="2147483647">
    <dxf>
      <font>
        <i/>
      </font>
    </dxf>
  </rfmt>
  <rfmt sheetId="1" sqref="D296" start="0" length="2147483647">
    <dxf>
      <font>
        <i/>
      </font>
    </dxf>
  </rfmt>
  <rfmt sheetId="1" sqref="D375" start="0" length="2147483647">
    <dxf>
      <font>
        <i/>
      </font>
    </dxf>
  </rfmt>
  <rfmt sheetId="1" sqref="D383" start="0" length="2147483647">
    <dxf>
      <font>
        <i/>
      </font>
    </dxf>
  </rfmt>
  <rfmt sheetId="1" sqref="D413" start="0" length="2147483647">
    <dxf>
      <font>
        <i/>
      </font>
    </dxf>
  </rfmt>
  <rcc rId="951" sId="1" numFmtId="4">
    <nc r="F435">
      <v>0</v>
    </nc>
  </rcc>
  <rfmt sheetId="1" sqref="D467" start="0" length="2147483647">
    <dxf>
      <font>
        <i val="0"/>
      </font>
    </dxf>
  </rfmt>
  <rfmt sheetId="1" sqref="D468" start="0" length="2147483647">
    <dxf>
      <font>
        <i val="0"/>
      </font>
    </dxf>
  </rfmt>
  <rcc rId="952" sId="1" odxf="1" dxf="1">
    <nc r="D481" t="inlineStr">
      <is>
        <t>09000 00000</t>
      </is>
    </nc>
    <odxf/>
    <ndxf/>
  </rcc>
  <rfmt sheetId="1" sqref="D481" start="0" length="2147483647">
    <dxf>
      <font>
        <i/>
      </font>
    </dxf>
  </rfmt>
  <rfmt sheetId="1" sqref="D486" start="0" length="2147483647">
    <dxf>
      <font>
        <i val="0"/>
      </font>
    </dxf>
  </rfmt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3" sId="1">
    <nc r="G89">
      <v>84.686499999999995</v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4" sId="1" numFmtId="4">
    <oc r="F289">
      <v>0</v>
    </oc>
    <nc r="F289">
      <f>20000+15500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5" sId="1">
    <oc r="F502">
      <f>17.15178+5</f>
    </oc>
    <nc r="F502">
      <f>17.15178+3.95753</f>
    </nc>
  </rcc>
  <rcc rId="956" sId="1">
    <oc r="F63">
      <f>469.4</f>
    </oc>
    <nc r="F63">
      <f>469.4+1.04247</f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7" sId="1" ref="A361:XFD361" action="insertRow"/>
  <rrc rId="958" sId="1" ref="A361:XFD361" action="insertRow"/>
  <rrc rId="959" sId="1" ref="A361:XFD361" action="insertRow"/>
  <rrc rId="960" sId="1" ref="A361:XFD361" action="insertRow"/>
  <rcc rId="961" sId="1" odxf="1" dxf="1">
    <nc r="A361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62" sId="1" odxf="1" dxf="1">
    <nc r="B36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3" sId="1" odxf="1" dxf="1">
    <nc r="C36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4" sId="1" odxf="1" dxf="1">
    <nc r="D361" t="inlineStr">
      <is>
        <t>10501 S2В60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1" start="0" length="0">
    <dxf>
      <font>
        <i/>
        <name val="Times New Roman"/>
        <family val="1"/>
      </font>
    </dxf>
  </rfmt>
  <rfmt sheetId="1" sqref="F36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65" sId="1" odxf="1" dxf="1">
    <nc r="A36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66" sId="1">
    <nc r="B362" t="inlineStr">
      <is>
        <t>07</t>
      </is>
    </nc>
  </rcc>
  <rcc rId="967" sId="1">
    <nc r="C362" t="inlineStr">
      <is>
        <t>09</t>
      </is>
    </nc>
  </rcc>
  <rcc rId="968" sId="1">
    <nc r="D362" t="inlineStr">
      <is>
        <t>10501  S2В60</t>
      </is>
    </nc>
  </rcc>
  <rcc rId="969" sId="1">
    <nc r="E362" t="inlineStr">
      <is>
        <t>111</t>
      </is>
    </nc>
  </rcc>
  <rfmt sheetId="1" sqref="F362" start="0" length="0">
    <dxf>
      <fill>
        <patternFill patternType="solid">
          <bgColor theme="0"/>
        </patternFill>
      </fill>
    </dxf>
  </rfmt>
  <rcc rId="970" sId="1" odxf="1" dxf="1">
    <nc r="A36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71" sId="1">
    <nc r="B363" t="inlineStr">
      <is>
        <t>07</t>
      </is>
    </nc>
  </rcc>
  <rcc rId="972" sId="1">
    <nc r="C363" t="inlineStr">
      <is>
        <t>09</t>
      </is>
    </nc>
  </rcc>
  <rcc rId="973" sId="1">
    <nc r="D363" t="inlineStr">
      <is>
        <t>10501 S2В60</t>
      </is>
    </nc>
  </rcc>
  <rcc rId="974" sId="1">
    <nc r="E363" t="inlineStr">
      <is>
        <t>119</t>
      </is>
    </nc>
  </rcc>
  <rfmt sheetId="1" sqref="F363" start="0" length="0">
    <dxf>
      <fill>
        <patternFill patternType="solid">
          <bgColor theme="0"/>
        </patternFill>
      </fill>
    </dxf>
  </rfmt>
  <rrc rId="975" sId="1" ref="A364:XFD364" action="deleteRow">
    <undo index="65535" exp="ref" v="1" dr="F364" r="F361" sId="1"/>
    <rfmt sheetId="1" xfDxf="1" sqref="A364:XFD364" start="0" length="0">
      <dxf>
        <font>
          <name val="Times New Roman CYR"/>
          <family val="1"/>
        </font>
        <alignment wrapText="1"/>
      </dxf>
    </rfmt>
    <rfmt sheetId="1" sqref="A36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76" sId="1">
    <nc r="F361">
      <f>F362+F363</f>
    </nc>
  </rcc>
  <rcc rId="977" sId="1" numFmtId="4">
    <nc r="F362">
      <v>8000</v>
    </nc>
  </rcc>
  <rcc rId="978" sId="1" numFmtId="4">
    <nc r="F363">
      <v>2400</v>
    </nc>
  </rcc>
  <rcc rId="979" sId="1">
    <oc r="F347">
      <f>F350+F353+F348</f>
    </oc>
    <nc r="F347">
      <f>F350+F353+F348+F361</f>
    </nc>
  </rcc>
  <rrc rId="980" sId="1" ref="A307:XFD307" action="insertRow"/>
  <rrc rId="981" sId="1" ref="A307:XFD307" action="insertRow"/>
  <rrc rId="982" sId="1" ref="A307:XFD307" action="insertRow"/>
  <rcc rId="983" sId="1" odxf="1" dxf="1">
    <nc r="A30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84" sId="1" odxf="1" dxf="1">
    <nc r="B3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5" sId="1" odxf="1" dxf="1">
    <nc r="C30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6" sId="1" odxf="1" dxf="1">
    <nc r="D307" t="inlineStr">
      <is>
        <t>10301 S2В60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07" start="0" length="0">
    <dxf>
      <font>
        <i/>
        <name val="Times New Roman"/>
        <family val="1"/>
      </font>
    </dxf>
  </rfmt>
  <rcc rId="987" sId="1" odxf="1" dxf="1">
    <nc r="F307">
      <f>SUM(F308:F309)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8" sId="1" odxf="1" dxf="1">
    <nc r="A3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89" sId="1">
    <nc r="B308" t="inlineStr">
      <is>
        <t>07</t>
      </is>
    </nc>
  </rcc>
  <rcc rId="990" sId="1">
    <nc r="C308" t="inlineStr">
      <is>
        <t>03</t>
      </is>
    </nc>
  </rcc>
  <rcc rId="991" sId="1" odxf="1" dxf="1">
    <nc r="D308" t="inlineStr">
      <is>
        <t>10301 S2В60</t>
      </is>
    </nc>
    <odxf/>
    <ndxf/>
  </rcc>
  <rcc rId="992" sId="1">
    <nc r="E308" t="inlineStr">
      <is>
        <t>611</t>
      </is>
    </nc>
  </rcc>
  <rfmt sheetId="1" sqref="F308" start="0" length="0">
    <dxf>
      <fill>
        <patternFill patternType="solid">
          <bgColor theme="0"/>
        </patternFill>
      </fill>
    </dxf>
  </rfmt>
  <rcc rId="993" sId="1" odxf="1" dxf="1">
    <nc r="A3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</border>
    </odxf>
    <ndxf>
      <border outline="0">
        <left style="thin">
          <color indexed="64"/>
        </left>
      </border>
    </ndxf>
  </rcc>
  <rcc rId="994" sId="1">
    <nc r="B309" t="inlineStr">
      <is>
        <t>07</t>
      </is>
    </nc>
  </rcc>
  <rcc rId="995" sId="1">
    <nc r="C309" t="inlineStr">
      <is>
        <t>03</t>
      </is>
    </nc>
  </rcc>
  <rcc rId="996" sId="1" odxf="1" dxf="1">
    <nc r="D309" t="inlineStr">
      <is>
        <t>10301 S2В60</t>
      </is>
    </nc>
    <odxf/>
    <ndxf/>
  </rcc>
  <rcc rId="997" sId="1">
    <nc r="E309" t="inlineStr">
      <is>
        <t>621</t>
      </is>
    </nc>
  </rcc>
  <rfmt sheetId="1" sqref="F309" start="0" length="0">
    <dxf>
      <fill>
        <patternFill patternType="solid">
          <bgColor theme="0"/>
        </patternFill>
      </fill>
    </dxf>
  </rfmt>
  <rcc rId="998" sId="1" numFmtId="4">
    <nc r="F308">
      <v>2198.6999999999998</v>
    </nc>
  </rcc>
  <rcc rId="999" sId="1" numFmtId="4">
    <nc r="F309">
      <f>8800+170</f>
    </nc>
  </rcc>
  <rcc rId="1000" sId="1">
    <oc r="F300">
      <f>F301+F304</f>
    </oc>
    <nc r="F300">
      <f>F301+F304+F307</f>
    </nc>
  </rcc>
  <rcc rId="1001" sId="1" numFmtId="4">
    <oc r="F357">
      <v>21366.39</v>
    </oc>
    <nc r="F357">
      <f>21366.39-8000</f>
    </nc>
  </rcc>
  <rcc rId="1002" sId="1" numFmtId="4">
    <oc r="F358">
      <v>6452.65</v>
    </oc>
    <nc r="F358">
      <f>6452.65-2400</f>
    </nc>
  </rcc>
  <rcc rId="1003" sId="1" numFmtId="4">
    <oc r="F302">
      <v>10546.06</v>
    </oc>
    <nc r="F302">
      <f>10546.06-2198.7</f>
    </nc>
  </rcc>
  <rcc rId="1004" sId="1" numFmtId="4">
    <oc r="F303">
      <v>26548.07</v>
    </oc>
    <nc r="F303">
      <f>26548.07-170-8800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5" sId="1">
    <nc r="E520">
      <v>1623462.675</v>
    </nc>
  </rcc>
  <rcc rId="1006" sId="1" odxf="1" dxf="1">
    <nc r="E521">
      <f>F518-E520</f>
    </nc>
    <odxf>
      <numFmt numFmtId="0" formatCode="General"/>
    </odxf>
    <ndxf>
      <numFmt numFmtId="165" formatCode="0.00000"/>
    </ndxf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7" sId="1" numFmtId="4">
    <oc r="F250">
      <v>24857.03</v>
    </oc>
    <nc r="F250">
      <f>24857.03+1386.91</f>
    </nc>
  </rcc>
  <rcc rId="1008" sId="1" numFmtId="4">
    <oc r="F269">
      <v>57084.29</v>
    </oc>
    <nc r="F269">
      <f>57084.29-980.85</f>
    </nc>
  </rcc>
  <rcc rId="1009" sId="1">
    <oc r="F302">
      <f>10546.06-2198.7</f>
    </oc>
    <nc r="F302">
      <f>10546.06-2198.7-406.06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0" sId="1" numFmtId="4">
    <oc r="F329">
      <v>55.37</v>
    </oc>
    <nc r="F329">
      <v>59.37</v>
    </nc>
  </rcc>
  <rcc rId="701" sId="1" numFmtId="4">
    <oc r="F330">
      <v>21.93</v>
    </oc>
    <nc r="F330">
      <v>17.93</v>
    </nc>
  </rcc>
  <rcc rId="702" sId="1" numFmtId="4">
    <oc r="F336">
      <v>59.37</v>
    </oc>
    <nc r="F336">
      <v>55.37</v>
    </nc>
  </rcc>
  <rcc rId="703" sId="1" numFmtId="4">
    <oc r="F337">
      <v>12.73</v>
    </oc>
    <nc r="F337">
      <v>16.73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функцион.структура!$A$2:$F$501</formula>
    <oldFormula>функцион.структура!$A$2:$F$501</oldFormula>
  </rdn>
  <rdn rId="0" localSheetId="1" customView="1" name="Z_629918FE_B1DF_464A_BF50_03D18729BC02_.wvu.FilterData" hidden="1" oldHidden="1">
    <formula>функцион.структура!$A$17:$K$508</formula>
    <oldFormula>функцион.структура!$A$17:$K$501</oldFormula>
  </rdn>
  <rcv guid="{629918FE-B1DF-464A-BF50-03D18729BC02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0" sId="1" ref="A50:XFD50" action="insertRow"/>
  <rrc rId="1011" sId="1" ref="A50:XFD50" action="insertRow"/>
  <rrc rId="1012" sId="1" ref="A50:XFD50" action="insertRow"/>
  <rcc rId="1013" sId="1" xfDxf="1" dxf="1">
    <nc r="A50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4" sId="1" xfDxf="1" dxf="1">
    <nc r="B50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5" sId="1" xfDxf="1" dxf="1">
    <nc r="C50" t="inlineStr">
      <is>
        <t>04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6" sId="1" xfDxf="1" dxf="1">
    <nc r="D50" t="inlineStr">
      <is>
        <t>99900 S2В60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50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50" start="0" length="0">
    <dxf>
      <font>
        <i/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17" sId="1" xfDxf="1" dxf="1">
    <nc r="A51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8" sId="1" xfDxf="1" dxf="1">
    <nc r="B51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9" sId="1" xfDxf="1" dxf="1">
    <nc r="C51" t="inlineStr">
      <is>
        <t>04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0" sId="1" xfDxf="1" dxf="1">
    <nc r="D51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1" sId="1" xfDxf="1" dxf="1">
    <nc r="E51" t="inlineStr">
      <is>
        <t>121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1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2" sId="1" xfDxf="1" dxf="1">
    <nc r="A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3" sId="1" xfDxf="1" dxf="1">
    <nc r="B52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4" sId="1" xfDxf="1" dxf="1">
    <nc r="C52" t="inlineStr">
      <is>
        <t>04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5" sId="1" xfDxf="1" dxf="1">
    <nc r="D52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6" sId="1" xfDxf="1" dxf="1">
    <nc r="E52" t="inlineStr">
      <is>
        <t>129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2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7" sId="1" numFmtId="4">
    <nc r="F51">
      <v>3070</v>
    </nc>
  </rcc>
  <rcc rId="1028" sId="1" numFmtId="4">
    <nc r="F52">
      <v>930</v>
    </nc>
  </rcc>
  <rcc rId="1029" sId="1" numFmtId="4">
    <nc r="F50">
      <f>F51+F52</f>
    </nc>
  </rcc>
  <rcc rId="1030" sId="1" numFmtId="4">
    <oc r="F44">
      <v>10215.700000000001</v>
    </oc>
    <nc r="F44">
      <f>10215.7-3070</f>
    </nc>
  </rcc>
  <rcc rId="1031" sId="1" numFmtId="4">
    <oc r="F45">
      <v>3085.1</v>
    </oc>
    <nc r="F45">
      <f>3085.1-930</f>
    </nc>
  </rcc>
  <rcc rId="1032" sId="1">
    <oc r="F41">
      <f>F42</f>
    </oc>
    <nc r="F41">
      <f>F42+F50</f>
    </nc>
  </rcc>
  <rrc rId="1033" sId="1" ref="A151:XFD151" action="insertRow"/>
  <rrc rId="1034" sId="1" ref="A151:XFD151" action="insertRow"/>
  <rrc rId="1035" sId="1" ref="A151:XFD151" action="insertRow"/>
  <rcc rId="1036" sId="1" xfDxf="1" dxf="1">
    <nc r="A151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7" sId="1" xfDxf="1" dxf="1">
    <nc r="B151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8" sId="1" xfDxf="1" dxf="1">
    <nc r="C151" t="inlineStr">
      <is>
        <t>13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9" sId="1" xfDxf="1" dxf="1">
    <nc r="D151" t="inlineStr">
      <is>
        <t>99900 S2В60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151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40" sId="1" xfDxf="1" dxf="1">
    <nc r="A152" t="inlineStr">
      <is>
        <t xml:space="preserve">Фонд оплаты труда учреждений 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1" sId="1" xfDxf="1" dxf="1">
    <nc r="B152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2" sId="1" xfDxf="1" dxf="1">
    <nc r="C152" t="inlineStr">
      <is>
        <t>13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3" sId="1" xfDxf="1" dxf="1">
    <nc r="D152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4" sId="1" xfDxf="1" dxf="1">
    <nc r="E152" t="inlineStr">
      <is>
        <t>111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5" sId="1" xfDxf="1" dxf="1">
    <nc r="A15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6" sId="1" xfDxf="1" dxf="1">
    <nc r="B153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7" sId="1" xfDxf="1" dxf="1">
    <nc r="C153" t="inlineStr">
      <is>
        <t>13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8" sId="1" xfDxf="1" dxf="1">
    <nc r="D153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9" sId="1" xfDxf="1" dxf="1">
    <nc r="E153" t="inlineStr">
      <is>
        <t>119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0" sId="1">
    <nc r="F151">
      <f>F152+F153</f>
    </nc>
  </rcc>
  <rcc rId="1051" sId="1" numFmtId="4">
    <nc r="F152">
      <v>3070</v>
    </nc>
  </rcc>
  <rcc rId="1052" sId="1" numFmtId="4">
    <nc r="F153">
      <v>930</v>
    </nc>
  </rcc>
  <rcc rId="1053" sId="1" numFmtId="4">
    <oc r="F143">
      <v>12790.3</v>
    </oc>
    <nc r="F143">
      <f>12790.3-3070</f>
    </nc>
  </rcc>
  <rcc rId="1054" sId="1" numFmtId="4">
    <oc r="F145">
      <v>3862.7</v>
    </oc>
    <nc r="F145">
      <f>3862.7-930</f>
    </nc>
  </rcc>
  <rcc rId="1055" sId="1">
    <oc r="F118">
      <f>F119+F122+F127+F132+F137+F139+F141+F154</f>
    </oc>
    <nc r="F118">
      <f>F119+F122+F127+F132+F137+F139+F141+F154+F151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6" sId="1">
    <oc r="F256">
      <f>24857.03+1386.91</f>
    </oc>
    <nc r="F256">
      <f>24857.03+1386.91+2000</f>
    </nc>
  </rcc>
  <rcc rId="1057" sId="1">
    <oc r="F275">
      <f>57084.29-980.85</f>
    </oc>
    <nc r="F275">
      <f>57084.29-980.85-2000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8" sId="1" ref="A302:XFD302" action="insertRow"/>
  <rrc rId="1059" sId="1" ref="A302:XFD302" action="insertRow"/>
  <rcc rId="1060" sId="1" odxf="1" dxf="1">
    <nc r="A302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61" sId="1" odxf="1" dxf="1">
    <nc r="B302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2" sId="1" odxf="1" dxf="1">
    <nc r="C302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3" sId="1" odxf="1" dxf="1">
    <nc r="D302" t="inlineStr">
      <is>
        <t>08301 S2В60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302" start="0" length="0">
    <dxf>
      <font>
        <i/>
        <name val="Times New Roman"/>
        <scheme val="none"/>
      </font>
    </dxf>
  </rfmt>
  <rcc rId="1064" sId="1" odxf="1" dxf="1">
    <nc r="A3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65" sId="1" odxf="1" dxf="1">
    <nc r="B303" t="inlineStr">
      <is>
        <t>07</t>
      </is>
    </nc>
    <odxf/>
    <ndxf/>
  </rcc>
  <rcc rId="1066" sId="1" odxf="1" dxf="1">
    <nc r="C303" t="inlineStr">
      <is>
        <t>03</t>
      </is>
    </nc>
    <odxf/>
    <ndxf/>
  </rcc>
  <rcc rId="1067" sId="1" odxf="1" dxf="1">
    <nc r="D303" t="inlineStr">
      <is>
        <t>08301 S2В60</t>
      </is>
    </nc>
    <odxf/>
    <ndxf/>
  </rcc>
  <rcc rId="1068" sId="1" odxf="1" dxf="1">
    <nc r="E303" t="inlineStr">
      <is>
        <t>621</t>
      </is>
    </nc>
    <odxf/>
    <ndxf/>
  </rcc>
  <rcc rId="1069" sId="1" numFmtId="4">
    <oc r="F305">
      <v>8711.7999999999993</v>
    </oc>
    <nc r="F305">
      <f>8711.8-2100</f>
    </nc>
  </rcc>
  <rcc rId="1070" sId="1" numFmtId="4">
    <nc r="F303">
      <v>2100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функцион.структура!$A$1:$F$526</formula>
    <oldFormula>функцион.структура!$A$1:$F$526</oldFormula>
  </rdn>
  <rdn rId="0" localSheetId="1" customView="1" name="Z_629918FE_B1DF_464A_BF50_03D18729BC02_.wvu.FilterData" hidden="1" oldHidden="1">
    <formula>функцион.структура!$A$17:$K$533</formula>
    <oldFormula>функцион.структура!$A$17:$K$533</oldFormula>
  </rdn>
  <rcv guid="{629918FE-B1DF-464A-BF50-03D18729BC02}" action="add"/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F302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73" sId="1">
    <nc r="F302">
      <f>F303</f>
    </nc>
  </rcc>
  <rcc rId="1074" sId="1">
    <oc r="F299">
      <f>F304+F300</f>
    </oc>
    <nc r="F299">
      <f>F304+F300+F302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5" sId="1" numFmtId="4">
    <oc r="F398">
      <v>11622.2</v>
    </oc>
    <nc r="F398">
      <f>11622.2-2500</f>
    </nc>
  </rcc>
  <rrc rId="1076" sId="1" ref="A397:XFD397" action="insertRow"/>
  <rrc rId="1077" sId="1" ref="A397:XFD397" action="insertRow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8" sId="1" odxf="1" dxf="1">
    <nc r="A39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fmt sheetId="1" sqref="B397" start="0" length="0">
    <dxf>
      <font>
        <i/>
        <name val="Times New Roman"/>
        <scheme val="none"/>
      </font>
    </dxf>
  </rfmt>
  <rfmt sheetId="1" sqref="C397" start="0" length="0">
    <dxf>
      <font>
        <i/>
        <name val="Times New Roman"/>
        <scheme val="none"/>
      </font>
    </dxf>
  </rfmt>
  <rfmt sheetId="1" sqref="D397" start="0" length="0">
    <dxf>
      <font>
        <i/>
        <name val="Times New Roman"/>
        <scheme val="none"/>
      </font>
    </dxf>
  </rfmt>
  <rfmt sheetId="1" sqref="E397" start="0" length="0">
    <dxf>
      <font>
        <i/>
        <name val="Times New Roman"/>
        <scheme val="none"/>
      </font>
    </dxf>
  </rfmt>
  <rcc rId="1079" sId="1" odxf="1" dxf="1">
    <nc r="A39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80" sId="1">
    <nc r="E398" t="inlineStr">
      <is>
        <t>621</t>
      </is>
    </nc>
  </rcc>
  <rcc rId="1081" sId="1">
    <nc r="B397" t="inlineStr">
      <is>
        <t>08</t>
      </is>
    </nc>
  </rcc>
  <rcc rId="1082" sId="1">
    <nc r="C397" t="inlineStr">
      <is>
        <t>01</t>
      </is>
    </nc>
  </rcc>
  <rcc rId="1083" sId="1" odxf="1" dxf="1">
    <nc r="B398" t="inlineStr">
      <is>
        <t>08</t>
      </is>
    </nc>
    <ndxf>
      <font>
        <i/>
        <name val="Times New Roman"/>
        <scheme val="none"/>
      </font>
    </ndxf>
  </rcc>
  <rcc rId="1084" sId="1" odxf="1" dxf="1">
    <nc r="C398" t="inlineStr">
      <is>
        <t>01</t>
      </is>
    </nc>
    <ndxf>
      <font>
        <i/>
        <name val="Times New Roman"/>
        <scheme val="none"/>
      </font>
    </ndxf>
  </rcc>
  <rcc rId="1085" sId="1">
    <nc r="D397" t="inlineStr">
      <is>
        <t>08201 S2В60</t>
      </is>
    </nc>
  </rcc>
  <rcc rId="1086" sId="1">
    <nc r="D398" t="inlineStr">
      <is>
        <t>08201 S2В60</t>
      </is>
    </nc>
  </rcc>
  <rcc rId="1087" sId="1" numFmtId="4">
    <nc r="F398">
      <v>2500</v>
    </nc>
  </rcc>
  <rfmt sheetId="1" xfDxf="1" sqref="F397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88" sId="1">
    <nc r="F397">
      <f>F398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9" sId="1">
    <oc r="F394">
      <f>F395+F399+F401</f>
    </oc>
    <nc r="F394">
      <f>F395+F399+F401+F397</f>
    </nc>
  </rcc>
  <rfmt sheetId="1" sqref="F400">
    <dxf>
      <fill>
        <patternFill>
          <bgColor rgb="FFFFFF00"/>
        </patternFill>
      </fill>
    </dxf>
  </rfmt>
  <rfmt sheetId="1" sqref="F400">
    <dxf>
      <fill>
        <patternFill>
          <bgColor rgb="FF92D050"/>
        </patternFill>
      </fill>
    </dxf>
  </rfmt>
  <rfmt sheetId="1" sqref="F305">
    <dxf>
      <fill>
        <patternFill>
          <bgColor rgb="FF92D050"/>
        </patternFill>
      </fill>
    </dxf>
  </rfmt>
  <rcc rId="1090" sId="1">
    <oc r="F493">
      <f>24589.9</f>
    </oc>
    <nc r="F493">
      <f>24589.9-9180</f>
    </nc>
  </rcc>
  <rrc rId="1091" sId="1" ref="A494:XFD494" action="insertRow"/>
  <rrc rId="1092" sId="1" ref="A494:XFD494" action="insertRow"/>
  <rcc rId="1093" sId="1" odxf="1" dxf="1">
    <nc r="A494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94" sId="1" odxf="1" dxf="1">
    <nc r="B494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5" sId="1" odxf="1" dxf="1">
    <nc r="C494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6" sId="1" odxf="1" dxf="1">
    <nc r="D494" t="inlineStr">
      <is>
        <t>09301 S2В60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7" sId="1" odxf="1" dxf="1">
    <nc r="A49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098" sId="1">
    <nc r="B495" t="inlineStr">
      <is>
        <t>11</t>
      </is>
    </nc>
  </rcc>
  <rcc rId="1099" sId="1">
    <nc r="C495" t="inlineStr">
      <is>
        <t>03</t>
      </is>
    </nc>
  </rcc>
  <rcc rId="1100" sId="1">
    <nc r="D495" t="inlineStr">
      <is>
        <t>09301  S2В60</t>
      </is>
    </nc>
  </rcc>
  <rcc rId="1101" sId="1">
    <nc r="E495" t="inlineStr">
      <is>
        <t>611</t>
      </is>
    </nc>
  </rcc>
  <rcc rId="1102" sId="1" numFmtId="4">
    <nc r="F495">
      <v>9180</v>
    </nc>
  </rcc>
  <rfmt sheetId="1" xfDxf="1" sqref="F494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103" sId="1">
    <nc r="F494">
      <f>F495</f>
    </nc>
  </rcc>
  <rcc rId="1104" sId="1">
    <oc r="F491">
      <f>F492+F496</f>
    </oc>
    <nc r="F491">
      <f>F492+F496+F494</f>
    </nc>
  </rcc>
  <rfmt sheetId="1" sqref="F493">
    <dxf>
      <fill>
        <patternFill>
          <bgColor rgb="FF92D050"/>
        </patternFill>
      </fill>
    </dxf>
  </rfmt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08" sId="1" ref="A26:XFD26" action="insertRow"/>
  <rrc rId="1109" sId="1" ref="A26:XFD26" action="insertRow"/>
  <rrc rId="1110" sId="1" ref="A26:XFD27" action="insertRow"/>
  <rcc rId="1111" sId="1" odxf="1" dxf="1">
    <nc r="A2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112" sId="1" odxf="1" dxf="1">
    <nc r="B26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26" start="0" length="0">
    <dxf>
      <fill>
        <patternFill patternType="none">
          <bgColor indexed="65"/>
        </patternFill>
      </fill>
    </dxf>
  </rfmt>
  <rcc rId="1113" sId="1" odxf="1" dxf="1">
    <nc r="D2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6" start="0" length="0">
    <dxf>
      <fill>
        <patternFill patternType="none">
          <bgColor indexed="65"/>
        </patternFill>
      </fill>
    </dxf>
  </rfmt>
  <rfmt sheetId="1" sqref="F26" start="0" length="0">
    <dxf>
      <fill>
        <patternFill patternType="none">
          <bgColor indexed="65"/>
        </patternFill>
      </fill>
    </dxf>
  </rfmt>
  <rcc rId="1114" sId="1" odxf="1" dxf="1">
    <nc r="A2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115" sId="1" odxf="1" dxf="1">
    <nc r="B27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16" sId="1" odxf="1" dxf="1">
    <nc r="D2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17" sId="1" odxf="1" dxf="1">
    <nc r="F27">
      <f>F28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18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119" sId="1" odxf="1" dxf="1">
    <nc r="B28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0" sId="1" odxf="1" dxf="1">
    <nc r="D2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1" sId="1" odxf="1" dxf="1">
    <nc r="F28">
      <f>F29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22" sId="1" odxf="1" dxf="1">
    <nc r="A2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123" sId="1" odxf="1" dxf="1">
    <nc r="B29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2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124" sId="1" odxf="1" dxf="1">
    <nc r="D2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25" sId="1" odxf="1" dxf="1">
    <nc r="E2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2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26" sId="1">
    <nc r="C26" t="inlineStr">
      <is>
        <t>03</t>
      </is>
    </nc>
  </rcc>
  <rcc rId="1127" sId="1">
    <nc r="C27" t="inlineStr">
      <is>
        <t>03</t>
      </is>
    </nc>
  </rcc>
  <rcc rId="1128" sId="1">
    <nc r="C28" t="inlineStr">
      <is>
        <t>03</t>
      </is>
    </nc>
  </rcc>
  <rcc rId="1129" sId="1">
    <nc r="C29" t="inlineStr">
      <is>
        <t>03</t>
      </is>
    </nc>
  </rcc>
  <rcc rId="1130" sId="1" numFmtId="4">
    <nc r="F29">
      <v>6.8</v>
    </nc>
  </rcc>
  <rcc rId="1131" sId="1">
    <nc r="F26">
      <f>F27</f>
    </nc>
  </rcc>
  <rcc rId="1132" sId="1">
    <oc r="F25">
      <f>F30</f>
    </oc>
    <nc r="F25">
      <f>F30+F26</f>
    </nc>
  </rcc>
  <rcc rId="1133" sId="1" numFmtId="4">
    <oc r="F37">
      <v>5</v>
    </oc>
    <nc r="F37">
      <v>27.601199999999999</v>
    </nc>
  </rcc>
  <rcc rId="1134" sId="1" numFmtId="4">
    <oc r="F39">
      <v>31.2</v>
    </oc>
    <nc r="F39">
      <v>34.28</v>
    </nc>
  </rcc>
  <rcc rId="1135" sId="1" numFmtId="4">
    <oc r="F40">
      <v>400</v>
    </oc>
    <nc r="F40">
      <v>374.31880000000001</v>
    </nc>
  </rcc>
  <rcc rId="1136" sId="1">
    <oc r="F35">
      <f>SUM(F36:F40)</f>
    </oc>
    <nc r="F35">
      <f>SUM(F36:F40)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7" sId="1" numFmtId="4">
    <oc r="F49">
      <f>3085.1-930</f>
    </oc>
    <nc r="F49">
      <v>2046.67173</v>
    </nc>
  </rcc>
  <rrc rId="1138" sId="1" ref="A51:XFD51" action="insertRow"/>
  <rcc rId="1139" sId="1">
    <nc r="B51" t="inlineStr">
      <is>
        <t>01</t>
      </is>
    </nc>
  </rcc>
  <rcc rId="1140" sId="1">
    <nc r="C51" t="inlineStr">
      <is>
        <t>04</t>
      </is>
    </nc>
  </rcc>
  <rcc rId="1141" sId="1">
    <nc r="D51" t="inlineStr">
      <is>
        <t>99900 81020</t>
      </is>
    </nc>
  </rcc>
  <rcc rId="1142" sId="1">
    <nc r="E51" t="inlineStr">
      <is>
        <t>247</t>
      </is>
    </nc>
  </rcc>
  <rcc rId="1143" sId="1" numFmtId="4">
    <nc r="F51">
      <v>70.316940000000002</v>
    </nc>
  </rcc>
  <rrc rId="1144" sId="1" ref="A52:XFD52" action="insertRow"/>
  <rcc rId="1145" sId="1">
    <nc r="B52" t="inlineStr">
      <is>
        <t>01</t>
      </is>
    </nc>
  </rcc>
  <rcc rId="1146" sId="1">
    <nc r="C52" t="inlineStr">
      <is>
        <t>04</t>
      </is>
    </nc>
  </rcc>
  <rcc rId="1147" sId="1">
    <nc r="D52" t="inlineStr">
      <is>
        <t>99900 81020</t>
      </is>
    </nc>
  </rcc>
  <rcc rId="1148" sId="1">
    <nc r="E52" t="inlineStr">
      <is>
        <t>831</t>
      </is>
    </nc>
  </rcc>
  <rcc rId="1149" sId="1" numFmtId="4">
    <nc r="F52">
      <v>37.986330000000002</v>
    </nc>
  </rcc>
  <rcc rId="1150" sId="1" numFmtId="4">
    <oc r="F54">
      <v>101.3</v>
    </oc>
    <nc r="F54">
      <v>101.31437</v>
    </nc>
  </rcc>
  <rcc rId="1151" sId="1" numFmtId="4">
    <oc r="F55">
      <v>123.8</v>
    </oc>
    <nc r="F55">
      <v>123.822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2" sId="1" odxf="1" dxf="1">
    <nc r="A51" t="inlineStr">
      <is>
        <t>Закупка энергетических ресурсов</t>
      </is>
    </nc>
    <odxf/>
    <ndxf/>
  </rcc>
  <rcc rId="1153" sId="1" odxf="1" dxf="1">
    <nc r="A52" t="inlineStr">
      <is>
        <t>Исполнение судебных актов Российской Федерации и мировых соглашений по возмещению причиненного вреда</t>
      </is>
    </nc>
    <odxf/>
    <ndxf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6" sId="1" numFmtId="4">
    <oc r="F236">
      <f>30878.7+630.2</f>
    </oc>
    <nc r="F236">
      <v>0</v>
    </nc>
  </rcc>
  <rfmt sheetId="1" sqref="F236">
    <dxf>
      <fill>
        <patternFill>
          <bgColor theme="0"/>
        </patternFill>
      </fill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4" sId="1" numFmtId="4">
    <oc r="F62">
      <v>644</v>
    </oc>
    <nc r="F62">
      <v>644.01</v>
    </nc>
  </rcc>
  <rcc rId="1155" sId="1" numFmtId="4">
    <oc r="F83">
      <v>400</v>
    </oc>
    <nc r="F83">
      <v>388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6" sId="1" numFmtId="4">
    <oc r="F91">
      <f>184+184</f>
    </oc>
    <nc r="F91">
      <v>361.2</v>
    </nc>
  </rcc>
  <rrc rId="1157" sId="1" ref="A128:XFD128" action="insertRow"/>
  <rrc rId="1158" sId="1" ref="A128:XFD128" action="insertRow"/>
  <rrc rId="1159" sId="1" ref="A128:XFD129" action="insertRow"/>
  <rcc rId="1160" sId="1" odxf="1" dxf="1">
    <nc r="A128" t="inlineStr">
      <is>
        <t>На поощрение муниципальных районов и городских округов в Республике Бурятия по итогам "Комплексной оценки уровня развития муниципальных районов и городских округов в Республике Бурятия"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61" sId="1" odxf="1" dxf="1">
    <nc r="B1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2" sId="1" odxf="1" dxf="1">
    <nc r="C12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3" sId="1" odxf="1" dxf="1">
    <nc r="D128" t="inlineStr">
      <is>
        <t>99900 71090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8" start="0" length="0">
    <dxf>
      <font>
        <i/>
        <name val="Times New Roman"/>
        <family val="1"/>
      </font>
    </dxf>
  </rfmt>
  <rfmt sheetId="1" sqref="F128" start="0" length="0">
    <dxf>
      <font>
        <i/>
        <name val="Times New Roman"/>
        <family val="1"/>
      </font>
    </dxf>
  </rfmt>
  <rcc rId="1164" sId="1" odxf="1" dxf="1">
    <nc r="A129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65" sId="1" odxf="1" dxf="1">
    <nc r="B129" t="inlineStr">
      <is>
        <t>01</t>
      </is>
    </nc>
    <odxf/>
    <ndxf/>
  </rcc>
  <rcc rId="1166" sId="1" odxf="1" dxf="1">
    <nc r="C129" t="inlineStr">
      <is>
        <t>13</t>
      </is>
    </nc>
    <odxf/>
    <ndxf/>
  </rcc>
  <rcc rId="1167" sId="1" odxf="1" dxf="1">
    <nc r="D129" t="inlineStr">
      <is>
        <t>99900 71090</t>
      </is>
    </nc>
    <odxf/>
    <ndxf/>
  </rcc>
  <rfmt sheetId="1" sqref="E129" start="0" length="0">
    <dxf/>
  </rfmt>
  <rcc rId="1168" sId="1">
    <nc r="A130" t="inlineStr">
      <is>
        <t>Иные выплаты персоналу учреждений, за исключением фонда оплаты труда</t>
      </is>
    </nc>
  </rcc>
  <rcc rId="1169" sId="1" odxf="1" dxf="1">
    <nc r="B130" t="inlineStr">
      <is>
        <t>01</t>
      </is>
    </nc>
    <odxf/>
    <ndxf/>
  </rcc>
  <rcc rId="1170" sId="1" odxf="1" dxf="1">
    <nc r="C130" t="inlineStr">
      <is>
        <t>13</t>
      </is>
    </nc>
    <odxf/>
    <ndxf/>
  </rcc>
  <rcc rId="1171" sId="1" odxf="1" dxf="1">
    <nc r="D130" t="inlineStr">
      <is>
        <t>99900 71090</t>
      </is>
    </nc>
    <odxf/>
    <ndxf/>
  </rcc>
  <rfmt sheetId="1" sqref="E130" start="0" length="0">
    <dxf/>
  </rfmt>
  <rcc rId="1172" sId="1">
    <nc r="E129" t="inlineStr">
      <is>
        <t>242</t>
      </is>
    </nc>
  </rcc>
  <rcc rId="1173" sId="1">
    <nc r="E130" t="inlineStr">
      <is>
        <t>244</t>
      </is>
    </nc>
  </rcc>
  <rrc rId="1174" sId="1" ref="A131:XFD131" action="deleteRow">
    <undo index="65535" exp="ref" v="1" dr="F131" r="F128" sId="1"/>
    <rfmt sheetId="1" xfDxf="1" sqref="A131:XFD131" start="0" length="0">
      <dxf>
        <font>
          <name val="Times New Roman CYR"/>
          <family val="1"/>
        </font>
        <alignment wrapText="1"/>
      </dxf>
    </rfmt>
    <rfmt sheetId="1" sqref="A13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5" sId="1">
    <nc r="F128">
      <f>F129+F130</f>
    </nc>
  </rcc>
  <rcc rId="1176" sId="1" numFmtId="4">
    <nc r="F129">
      <v>65.644999999999996</v>
    </nc>
  </rcc>
  <rcc rId="1177" sId="1" numFmtId="4">
    <nc r="F130">
      <v>583.654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8" sId="1">
    <oc r="F124">
      <f>F125+F131+F136+F141+F146+F148+F150+F163+F160</f>
    </oc>
    <nc r="F124">
      <f>F125+F131+F136+F141+F146+F148+F150+F163+F160+F128</f>
    </nc>
  </rcc>
  <rcc rId="1179" sId="1" odxf="1" dxf="1">
    <oc r="A129" t="inlineStr">
      <is>
        <t xml:space="preserve">Фонд оплаты труда  учреждений </t>
      </is>
    </oc>
    <nc r="A129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  <rcc rId="1180" sId="1" odxf="1" dxf="1">
    <oc r="A130" t="inlineStr">
      <is>
        <t>Иные выплаты персоналу учреждений, за исключением фонда оплаты труда</t>
      </is>
    </oc>
    <nc r="A130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8" sId="1" numFmtId="4">
    <oc r="F406">
      <v>0</v>
    </oc>
    <nc r="F406">
      <v>3256.6</v>
    </nc>
  </rcc>
  <rcc rId="589" sId="1" numFmtId="4">
    <oc r="F386">
      <v>3256.6</v>
    </oc>
    <nc r="F386">
      <v>0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0" sId="1" numFmtId="4">
    <oc r="F455">
      <v>0</v>
    </oc>
    <nc r="F455">
      <v>500</v>
    </nc>
  </rcc>
  <rcc rId="591" sId="1" numFmtId="4">
    <oc r="F483">
      <v>1055.73</v>
    </oc>
    <nc r="F483">
      <v>555.49</v>
    </nc>
  </rcc>
  <rcc rId="592" sId="1">
    <oc r="G401">
      <f>F289+F302+F318+F370+F376+F383+F397+F398+F400+F401+F402+F403+F410+F469+F477+F478+F480+F481+F482+F483</f>
    </oc>
    <nc r="G401">
      <f>F289+F302+F318+F370+F376+F383+F397+F398+F400+F401+F402+F403+F410+F469+F477+F478+F480+F481+F482+F483+F455</f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>
    <oc r="F433">
      <v>1819.7</v>
    </oc>
    <nc r="F433">
      <f>1819.7+453.1</f>
    </nc>
  </rcc>
  <rcc rId="594" sId="1" numFmtId="4">
    <oc r="F483">
      <v>555.49</v>
    </oc>
    <nc r="F483">
      <v>102.39</v>
    </nc>
  </rcc>
  <rcc rId="595" sId="1">
    <oc r="G433">
      <v>1710.1</v>
    </oc>
    <nc r="G433">
      <v>453.1</v>
    </nc>
  </rcc>
  <rfmt sheetId="1" sqref="G433">
    <dxf>
      <fill>
        <patternFill patternType="solid">
          <bgColor rgb="FF92D050"/>
        </patternFill>
      </fill>
    </dxf>
  </rfmt>
  <rfmt sheetId="1" sqref="G433" start="0" length="2147483647">
    <dxf>
      <font>
        <color rgb="FFFF0000"/>
      </font>
    </dxf>
  </rfmt>
  <rfmt sheetId="1" sqref="G433" start="0" length="2147483647">
    <dxf>
      <font>
        <color rgb="FFC00000"/>
      </font>
    </dxf>
  </rfmt>
  <rfmt sheetId="1" sqref="G433" start="0" length="2147483647">
    <dxf>
      <font>
        <color auto="1"/>
      </font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" sId="1" numFmtId="4">
    <oc r="F480">
      <v>4292.59</v>
    </oc>
    <nc r="F480">
      <v>1373.46</v>
    </nc>
  </rcc>
  <rcc rId="597" sId="1" numFmtId="4">
    <oc r="F481">
      <v>1296.3699999999999</v>
    </oc>
    <nc r="F481">
      <v>414.79</v>
    </nc>
  </rcc>
  <rcc rId="598" sId="1" numFmtId="4">
    <oc r="F459">
      <v>573.16999999999996</v>
    </oc>
    <nc r="F459">
      <f>573.17+2919.13</f>
    </nc>
  </rcc>
  <rcc rId="599" sId="1" numFmtId="4">
    <oc r="F460">
      <v>173.13</v>
    </oc>
    <nc r="F460">
      <f>173.13+881.58</f>
    </nc>
  </rcc>
  <rcc rId="600" sId="1">
    <nc r="H459">
      <v>2919.13</v>
    </nc>
  </rcc>
  <rcc rId="601" sId="1">
    <nc r="H460">
      <v>881.58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" sId="1">
    <oc r="G480" t="inlineStr">
      <is>
        <t>Специалисты и инструк</t>
      </is>
    </oc>
    <nc r="G480"/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1" sId="1" numFmtId="4">
    <oc r="F137">
      <v>533.29999999999995</v>
    </oc>
    <nc r="F137">
      <v>527.79999999999995</v>
    </nc>
  </rcc>
  <rcc rId="1182" sId="1" numFmtId="4">
    <oc r="F138">
      <v>160.98500000000001</v>
    </oc>
    <nc r="F138">
      <v>159.44</v>
    </nc>
  </rcc>
  <rcc rId="1183" sId="1" numFmtId="4">
    <oc r="F139">
      <v>28.315000000000001</v>
    </oc>
    <nc r="F139">
      <v>29</v>
    </nc>
  </rcc>
  <rcc rId="1184" sId="1" numFmtId="4">
    <oc r="F140">
      <v>41</v>
    </oc>
    <nc r="F140">
      <v>47.36</v>
    </nc>
  </rcc>
  <rcc rId="1185" sId="1" numFmtId="4">
    <oc r="F156">
      <f>4702.9+50+73.6</f>
    </oc>
    <nc r="F156">
      <v>5088.8162000000002</v>
    </nc>
  </rcc>
  <rrc rId="1186" sId="1" ref="A160:XFD160" action="insertRow"/>
  <rcc rId="1187" sId="1">
    <nc r="B160" t="inlineStr">
      <is>
        <t>01</t>
      </is>
    </nc>
  </rcc>
  <rcc rId="1188" sId="1">
    <nc r="C160" t="inlineStr">
      <is>
        <t>13</t>
      </is>
    </nc>
  </rcc>
  <rcc rId="1189" sId="1">
    <nc r="D160" t="inlineStr">
      <is>
        <t>99900 83590</t>
      </is>
    </nc>
  </rcc>
  <rcc rId="1190" sId="1">
    <nc r="E160" t="inlineStr">
      <is>
        <t>853</t>
      </is>
    </nc>
  </rcc>
  <rcc rId="1191" sId="1" numFmtId="4">
    <nc r="F160">
      <v>0.125</v>
    </nc>
  </rcc>
  <rcc rId="1192" sId="1">
    <oc r="F151">
      <f>SUM(F152:F159)</f>
    </oc>
    <nc r="F151">
      <f>SUM(F152:F160)</f>
    </nc>
  </rcc>
  <rcc rId="1193" sId="1" odxf="1" dxf="1">
    <nc r="A160" t="inlineStr">
      <is>
        <t>Уплата иных платежей</t>
      </is>
    </nc>
    <ndxf>
      <fill>
        <patternFill patternType="none"/>
      </fill>
    </ndxf>
  </rcc>
  <rrc rId="1194" sId="1" ref="A161:XFD162" action="insertRow"/>
  <rcc rId="1195" sId="1" odxf="1" dxf="1">
    <nc r="A161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96" sId="1" odxf="1" dxf="1">
    <nc r="B1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7" sId="1" odxf="1" dxf="1">
    <nc r="C16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8" sId="1" odxf="1" dxf="1">
    <nc r="D161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1199" sId="1" odxf="1" dxf="1">
    <nc r="F161">
      <f>F162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00" sId="1">
    <nc r="A162" t="inlineStr">
      <is>
        <t>Иные выплаты населению</t>
      </is>
    </nc>
  </rcc>
  <rcc rId="1201" sId="1">
    <nc r="B162" t="inlineStr">
      <is>
        <t>01</t>
      </is>
    </nc>
  </rcc>
  <rcc rId="1202" sId="1">
    <nc r="C162" t="inlineStr">
      <is>
        <t>13</t>
      </is>
    </nc>
  </rcc>
  <rcc rId="1203" sId="1">
    <nc r="D162" t="inlineStr">
      <is>
        <t>99900 86000</t>
      </is>
    </nc>
  </rcc>
  <rcc rId="1204" sId="1">
    <nc r="E162" t="inlineStr">
      <is>
        <t>360</t>
      </is>
    </nc>
  </rcc>
  <rfmt sheetId="1" sqref="F162" start="0" length="0">
    <dxf>
      <fill>
        <patternFill patternType="solid">
          <bgColor theme="0"/>
        </patternFill>
      </fill>
    </dxf>
  </rfmt>
  <rcc rId="1205" sId="1" numFmtId="4">
    <nc r="F162">
      <v>12</v>
    </nc>
  </rcc>
  <rcc rId="1206" sId="1">
    <oc r="F124">
      <f>F125+F131+F136+F141+F146+F148+F150+F166+F163+F128</f>
    </oc>
    <nc r="F124">
      <f>F125+F131+F136+F141+F146+F148+F150+F166+F163+F128+F161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07" sId="1" ref="A106:XFD106" action="insertRow"/>
  <rcc rId="1208" sId="1">
    <nc r="B106" t="inlineStr">
      <is>
        <t>01</t>
      </is>
    </nc>
  </rcc>
  <rcc rId="1209" sId="1">
    <nc r="C106" t="inlineStr">
      <is>
        <t>13</t>
      </is>
    </nc>
  </rcc>
  <rcc rId="1210" sId="1">
    <nc r="D106" t="inlineStr">
      <is>
        <t>04102 81020</t>
      </is>
    </nc>
  </rcc>
  <rcc rId="1211" sId="1">
    <nc r="E106" t="inlineStr">
      <is>
        <t>853</t>
      </is>
    </nc>
  </rcc>
  <rcc rId="1212" sId="1" odxf="1" dxf="1">
    <nc r="A106" t="inlineStr">
      <is>
        <t>Уплата иных платежей</t>
      </is>
    </nc>
    <ndxf>
      <fill>
        <patternFill patternType="none"/>
      </fill>
    </ndxf>
  </rcc>
  <rcc rId="1213" sId="1" numFmtId="4">
    <nc r="F106">
      <v>1.2540000000000001E-2</v>
    </nc>
  </rcc>
  <rcc rId="1214" sId="1">
    <oc r="F102">
      <f>SUM(F103:F105)</f>
    </oc>
    <nc r="F102">
      <f>SUM(F103:F106)</f>
    </nc>
  </rcc>
  <rcc rId="1215" sId="1" numFmtId="4">
    <oc r="F108">
      <v>149.4</v>
    </oc>
    <nc r="F108">
      <v>154.376</v>
    </nc>
  </rcc>
  <rcc rId="1216" sId="1" numFmtId="4">
    <oc r="F109">
      <v>28.2</v>
    </oc>
    <nc r="F109">
      <v>32.033279999999998</v>
    </nc>
  </rcc>
  <rcc rId="1217" sId="1" numFmtId="4">
    <oc r="F105">
      <v>1244.0999999999999</v>
    </oc>
    <nc r="F105">
      <v>1244.08746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39" start="0" length="0">
    <dxf>
      <numFmt numFmtId="165" formatCode="0.00000"/>
    </dxf>
  </rfmt>
  <rcc rId="707" sId="1">
    <nc r="H239">
      <f>F248+F243+F254+F256+F258+F260+F262+F267+F269+F271+F296+F307+F323+F326+F328+F335+1800</f>
    </nc>
  </rcc>
  <rcc rId="708" sId="1">
    <oc r="F278">
      <f>8362.1+1011.7</f>
    </oc>
    <nc r="F278">
      <f>16724.2+1011.7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18" sId="1" ref="A147:XFD148" action="insertRow"/>
  <rm rId="1219" sheetId="1" source="A151:XFD152" destination="A147:XFD148" sourceSheetId="1">
    <rfmt sheetId="1" xfDxf="1" sqref="A147:XFD147" start="0" length="0">
      <dxf>
        <font>
          <name val="Times New Roman CYR"/>
          <family val="1"/>
        </font>
        <alignment wrapText="1"/>
      </dxf>
    </rfmt>
    <rfmt sheetId="1" xfDxf="1" sqref="A148:XFD148" start="0" length="0">
      <dxf>
        <font>
          <name val="Times New Roman CYR"/>
          <family val="1"/>
        </font>
        <alignment wrapText="1"/>
      </dxf>
    </rfmt>
    <rfmt sheetId="1" sqref="A14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8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20" sId="1" ref="A151:XFD151" action="deleteRow">
    <rfmt sheetId="1" xfDxf="1" sqref="A151:XFD151" start="0" length="0">
      <dxf>
        <font>
          <name val="Times New Roman CYR"/>
          <family val="1"/>
        </font>
        <alignment wrapText="1"/>
      </dxf>
    </rfmt>
  </rrc>
  <rrc rId="1221" sId="1" ref="A151:XFD151" action="deleteRow">
    <rfmt sheetId="1" xfDxf="1" sqref="A151:XFD151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функцион.структура!$A$1:$F$543</formula>
    <oldFormula>функцион.структура!$A$1:$F$543</oldFormula>
  </rdn>
  <rdn rId="0" localSheetId="1" customView="1" name="Z_629918FE_B1DF_464A_BF50_03D18729BC02_.wvu.FilterData" hidden="1" oldHidden="1">
    <formula>функцион.структура!$A$17:$K$550</formula>
    <oldFormula>функцион.структура!$A$17:$K$550</oldFormula>
  </rdn>
  <rcv guid="{629918FE-B1DF-464A-BF50-03D18729BC02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" sId="1" numFmtId="4">
    <oc r="F188">
      <v>146.69999999999999</v>
    </oc>
    <nc r="F188">
      <v>146.73500000000001</v>
    </nc>
  </rcc>
  <rcc rId="1225" sId="1" numFmtId="4">
    <oc r="F195">
      <v>16.899999999999999</v>
    </oc>
    <nc r="F195">
      <v>16.905000000000001</v>
    </nc>
  </rcc>
  <rcc rId="1226" sId="1" numFmtId="4">
    <oc r="F196">
      <v>5.0999999999999996</v>
    </oc>
    <nc r="F196">
      <v>5.1050000000000004</v>
    </nc>
  </rcc>
  <rcc rId="1227" sId="1" numFmtId="4">
    <oc r="F202">
      <f>14+622.2</f>
    </oc>
    <nc r="F202">
      <v>983.3</v>
    </nc>
  </rcc>
  <rcc rId="1228" sId="1">
    <oc r="F207">
      <f>713.9</f>
    </oc>
    <nc r="F207">
      <f>713.9+14.57</f>
    </nc>
  </rcc>
  <rcc rId="1229" sId="1">
    <oc r="F209">
      <v>16803.13</v>
    </oc>
    <nc r="F209">
      <f>16803.13-14.57-2000</f>
    </nc>
  </rcc>
  <rrc rId="1230" sId="1" ref="A209:XFD209" action="insertRow"/>
  <rfmt sheetId="1" sqref="A209" start="0" length="0">
    <dxf>
      <font>
        <i val="0"/>
        <name val="Times New Roman"/>
        <family val="1"/>
      </font>
      <alignment horizontal="left"/>
    </dxf>
  </rfmt>
  <rcc rId="1231" sId="1" odxf="1" dxf="1">
    <nc r="B20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32" sId="1" odxf="1" dxf="1">
    <nc r="C20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33" sId="1" odxf="1" dxf="1">
    <nc r="D20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F209" start="0" length="0">
    <dxf>
      <font>
        <i val="0"/>
        <name val="Times New Roman"/>
        <family val="1"/>
      </font>
    </dxf>
  </rfmt>
  <rcc rId="1234" sId="1">
    <nc r="E209" t="inlineStr">
      <is>
        <t>540</t>
      </is>
    </nc>
  </rcc>
  <rcc rId="1235" sId="1" numFmtId="4">
    <nc r="F209">
      <v>2000</v>
    </nc>
  </rcc>
  <rcc rId="1236" sId="1">
    <oc r="F208">
      <f>F210</f>
    </oc>
    <nc r="F208">
      <f>SUM(F209:F210)</f>
    </nc>
  </rcc>
  <rcc rId="1237" sId="1" odxf="1" dxf="1">
    <nc r="A209" t="inlineStr">
      <is>
        <t>Иные межбюджетные трансферты</t>
      </is>
    </nc>
    <ndxf>
      <alignment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8" sId="1" numFmtId="4">
    <oc r="F210">
      <f>16803.13-14.57-2000</f>
    </oc>
    <nc r="F210">
      <v>21913.600050000001</v>
    </nc>
  </rcc>
  <rcc rId="1239" sId="1" numFmtId="4">
    <oc r="F218">
      <f>1184.2+75.6+12.6</f>
    </oc>
    <nc r="F218">
      <v>1263.5899999999999</v>
    </nc>
  </rcc>
  <rfmt sheetId="1" sqref="A215" start="0" length="0">
    <dxf/>
  </rfmt>
  <rfmt sheetId="1" sqref="B215" start="0" length="0">
    <dxf/>
  </rfmt>
  <rfmt sheetId="1" sqref="C215" start="0" length="0">
    <dxf/>
  </rfmt>
  <rcc rId="1240" sId="1" odxf="1" dxf="1">
    <oc r="D215" t="inlineStr">
      <is>
        <t>04201 82100</t>
      </is>
    </oc>
    <nc r="D215" t="inlineStr">
      <is>
        <t>04201 82170</t>
      </is>
    </nc>
    <odxf/>
    <ndxf/>
  </rcc>
  <rfmt sheetId="1" sqref="E215" start="0" length="0">
    <dxf/>
  </rfmt>
  <rfmt sheetId="1" sqref="A216" start="0" length="0">
    <dxf/>
  </rfmt>
  <rfmt sheetId="1" sqref="B216" start="0" length="0">
    <dxf/>
  </rfmt>
  <rfmt sheetId="1" sqref="C216" start="0" length="0">
    <dxf/>
  </rfmt>
  <rcc rId="1241" sId="1" odxf="1" dxf="1">
    <oc r="D216" t="inlineStr">
      <is>
        <t>04201 82100</t>
      </is>
    </oc>
    <nc r="D216" t="inlineStr">
      <is>
        <t>04201 82170</t>
      </is>
    </nc>
    <odxf/>
    <ndxf/>
  </rcc>
  <rfmt sheetId="1" sqref="E216" start="0" length="0">
    <dxf/>
  </rfmt>
  <rcc rId="1242" sId="1">
    <oc r="F216">
      <f>409.2+347</f>
    </oc>
    <nc r="F216">
      <f>409.2+347+600</f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3" sId="1" ref="A240:XFD240" action="insertRow"/>
  <rrc rId="1244" sId="1" ref="A240:XFD240" action="insertRow"/>
  <rfmt sheetId="1" sqref="A240" start="0" length="0">
    <dxf>
      <font>
        <b val="0"/>
        <i/>
        <name val="Times New Roman"/>
        <family val="1"/>
      </font>
      <alignment horizontal="general" vertical="top"/>
    </dxf>
  </rfmt>
  <rcc rId="1245" sId="1" odxf="1" dxf="1">
    <nc r="B24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246" sId="1" odxf="1" dxf="1">
    <nc r="C240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40" start="0" length="0">
    <dxf>
      <font>
        <b val="0"/>
        <i/>
        <name val="Times New Roman"/>
        <family val="1"/>
      </font>
    </dxf>
  </rfmt>
  <rfmt sheetId="1" sqref="E240" start="0" length="0">
    <dxf>
      <font>
        <b val="0"/>
        <i/>
        <name val="Times New Roman"/>
        <family val="1"/>
      </font>
    </dxf>
  </rfmt>
  <rcc rId="1247" sId="1" odxf="1" dxf="1">
    <nc r="F240">
      <f>F241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248" sId="1" odxf="1" dxf="1">
    <nc r="A241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249" sId="1" odxf="1" dxf="1">
    <nc r="B24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250" sId="1" odxf="1" dxf="1">
    <nc r="C241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41" start="0" length="0">
    <dxf>
      <font>
        <b val="0"/>
        <name val="Times New Roman"/>
        <family val="1"/>
      </font>
    </dxf>
  </rfmt>
  <rcc rId="1251" sId="1" odxf="1" dxf="1">
    <nc r="E241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F241" start="0" length="0">
    <dxf>
      <font>
        <b val="0"/>
        <name val="Times New Roman"/>
        <family val="1"/>
      </font>
    </dxf>
  </rfmt>
  <rcc rId="1252" sId="1" odxf="1" dxf="1">
    <nc r="D240" t="inlineStr">
      <is>
        <t>999F3 67483</t>
      </is>
    </nc>
    <ndxf>
      <font>
        <name val="Times New Roman"/>
        <family val="1"/>
      </font>
    </ndxf>
  </rcc>
  <rcc rId="1253" sId="1" odxf="1" dxf="1">
    <nc r="D241" t="inlineStr">
      <is>
        <t>999F3 67483</t>
      </is>
    </nc>
    <ndxf>
      <font>
        <name val="Times New Roman"/>
        <family val="1"/>
      </font>
    </ndxf>
  </rcc>
  <rcc rId="1254" sId="1" numFmtId="4">
    <nc r="F241">
      <v>404031.42080000002</v>
    </nc>
  </rcc>
  <rcc rId="1255" sId="1" numFmtId="4">
    <oc r="F243">
      <f>404031.4+7421</f>
    </oc>
    <nc r="F243">
      <v>7420.9852799999999</v>
    </nc>
  </rcc>
  <rcc rId="1256" sId="1">
    <oc r="F239">
      <f>F242</f>
    </oc>
    <nc r="F239">
      <f>F242+F240</f>
    </nc>
  </rcc>
  <rcc rId="1257" sId="1" xfDxf="1" dxf="1">
    <nc r="A240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8" sId="1" xfDxf="1" dxf="1">
    <oc r="A242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oc>
    <nc r="A242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функцион.структура!$A$1:$F$546</formula>
    <oldFormula>функцион.структура!$A$1:$F$546</oldFormula>
  </rdn>
  <rdn rId="0" localSheetId="1" customView="1" name="Z_629918FE_B1DF_464A_BF50_03D18729BC02_.wvu.FilterData" hidden="1" oldHidden="1">
    <formula>функцион.структура!$A$17:$K$553</formula>
    <oldFormula>функцион.структура!$A$17:$K$553</oldFormula>
  </rdn>
  <rcv guid="{629918FE-B1DF-464A-BF50-03D18729BC02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1" sId="1">
    <oc r="F250">
      <f>9677.7</f>
    </oc>
    <nc r="F250">
      <f>9677.7+1075.3</f>
    </nc>
  </rcc>
  <rcc rId="1262" sId="1" numFmtId="4">
    <oc r="F259">
      <f>14180+283.6+14.5</f>
    </oc>
    <nc r="F259">
      <v>14478.09729</v>
    </nc>
  </rcc>
  <rrc rId="1263" sId="1" ref="A260:XFD260" action="deleteRow">
    <undo index="65535" exp="ref" v="1" dr="F260" r="F237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0" start="0" length="0">
      <dxf>
        <numFmt numFmtId="165" formatCode="0.00000"/>
      </dxf>
    </rfmt>
  </rrc>
  <rrc rId="1264" sId="1" ref="A260:XFD260" action="deleteRow"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5" sId="1" ref="A260:XFD260" action="deleteRow">
    <rfmt sheetId="1" xfDxf="1" sqref="A260:XFD260" start="0" length="0">
      <dxf>
        <font>
          <b/>
          <name val="Times New Roman CYR"/>
          <family val="1"/>
        </font>
        <alignment wrapText="1"/>
      </dxf>
    </rfmt>
    <rcc rId="0" sId="1" dxf="1">
      <nc r="A260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6" sId="1" ref="A260:XFD260" action="deleteRow">
    <undo index="65535" exp="ref" v="1" dr="F260" r="H24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0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67" sId="1">
    <oc r="F237">
      <f>F238+F244+F255+#REF!</f>
    </oc>
    <nc r="F237">
      <f>F238+F244+F255</f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8" sId="1" numFmtId="4">
    <oc r="F457">
      <v>347.1</v>
    </oc>
    <nc r="F457">
      <v>0</v>
    </nc>
  </rcc>
  <rrc rId="1269" sId="1" ref="A454:XFD454" action="deleteRow">
    <undo index="0" exp="ref" v="1" dr="F454" r="F453" sId="1"/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</ndxf>
    </rcc>
    <rcc rId="0" sId="1" dxf="1">
      <nc r="B45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4">
        <f>F446+F442+F435+F432+F427+F417+F412+F408+F404+F400+F333+F317+F313</f>
      </nc>
      <ndxf>
        <numFmt numFmtId="165" formatCode="0.00000"/>
      </ndxf>
    </rcc>
  </rrc>
  <rrc rId="1270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1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5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2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4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4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73" sId="1">
    <oc r="F453">
      <f>#REF!+F454</f>
    </oc>
    <nc r="F453">
      <f>F454</f>
    </nc>
  </rcc>
  <rcc rId="1274" sId="1" numFmtId="4">
    <oc r="F476">
      <v>135</v>
    </oc>
    <nc r="F476">
      <v>175</v>
    </nc>
  </rcc>
  <rcc rId="1275" sId="1" numFmtId="4">
    <oc r="F477">
      <v>100.2</v>
    </oc>
    <nc r="F477">
      <v>60.2</v>
    </nc>
  </rcc>
  <rcc rId="1276" sId="1" numFmtId="4">
    <oc r="F458">
      <f>2602.2-200</f>
    </oc>
    <nc r="F458">
      <v>2402.23</v>
    </nc>
  </rcc>
  <rcc rId="1277" sId="1" numFmtId="4">
    <oc r="F465">
      <f>1819.7+453.1</f>
    </oc>
    <nc r="F465">
      <v>2272.8070699999998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8" sId="1" numFmtId="4">
    <oc r="F29">
      <v>6.8</v>
    </oc>
    <nc r="F29">
      <v>10</v>
    </nc>
  </rcc>
  <rcc rId="1279" sId="1" numFmtId="4">
    <oc r="F49">
      <v>2046.67173</v>
    </oc>
    <nc r="F49">
      <v>1972.8221699999999</v>
    </nc>
  </rcc>
  <rcc rId="1280" sId="1" numFmtId="4">
    <oc r="F51">
      <v>70.316940000000002</v>
    </oc>
    <nc r="F51">
      <v>226.31423000000001</v>
    </nc>
  </rcc>
  <rcc rId="1281" sId="1" numFmtId="4">
    <oc r="F52">
      <v>37.986330000000002</v>
    </oc>
    <nc r="F52">
      <v>101.15514</v>
    </nc>
  </rcc>
  <rcc rId="1282" sId="1" numFmtId="4">
    <oc r="F62">
      <v>644.01</v>
    </oc>
    <nc r="F62">
      <v>423.62</v>
    </nc>
  </rcc>
  <rcc rId="1283" sId="1" numFmtId="4">
    <oc r="F83">
      <v>388</v>
    </oc>
    <nc r="F83">
      <v>317</v>
    </nc>
  </rcc>
  <rcc rId="1284" sId="1" numFmtId="4">
    <oc r="F91">
      <v>361.2</v>
    </oc>
    <nc r="F91">
      <v>358</v>
    </nc>
  </rcc>
  <rcc rId="1285" sId="1" numFmtId="4">
    <oc r="F104">
      <v>0</v>
    </oc>
    <nc r="F104">
      <v>0.96</v>
    </nc>
  </rcc>
  <rcc rId="1286" sId="1" numFmtId="4">
    <oc r="F108">
      <v>154.376</v>
    </oc>
    <nc r="F108">
      <v>176.251</v>
    </nc>
  </rcc>
  <rcc rId="1287" sId="1" numFmtId="4">
    <oc r="F112">
      <f>125+20+15+350</f>
    </oc>
    <nc r="F112">
      <v>487.16500000000002</v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8" sId="1" numFmtId="4">
    <oc r="F138">
      <v>527.79999999999995</v>
    </oc>
    <nc r="F138">
      <v>534.51804000000004</v>
    </nc>
  </rcc>
  <rcc rId="1289" sId="1" numFmtId="4">
    <oc r="F139">
      <v>159.44</v>
    </oc>
    <nc r="F139">
      <v>152.72196</v>
    </nc>
  </rcc>
  <rcc rId="1290" sId="1" numFmtId="4">
    <oc r="F140">
      <v>29</v>
    </oc>
    <nc r="F140">
      <v>31.1</v>
    </nc>
  </rcc>
  <rcc rId="1291" sId="1" numFmtId="4">
    <oc r="F141">
      <v>47.36</v>
    </oc>
    <nc r="F141">
      <v>45.26</v>
    </nc>
  </rcc>
  <rcc rId="1292" sId="1" numFmtId="4">
    <oc r="F153">
      <f>12790.3-3070</f>
    </oc>
    <nc r="F153">
      <v>10000.5</v>
    </nc>
  </rcc>
  <rcc rId="1293" sId="1" numFmtId="4">
    <oc r="F155">
      <f>3862.7-930</f>
    </oc>
    <nc r="F155">
      <v>3016.9250000000002</v>
    </nc>
  </rcc>
  <rcc rId="1294" sId="1" numFmtId="4">
    <oc r="F157">
      <v>5088.8162000000002</v>
    </oc>
    <nc r="F157">
      <v>4961.4161999999997</v>
    </nc>
  </rcc>
  <rcc rId="1295" sId="1" numFmtId="4">
    <oc r="F161">
      <v>0.125</v>
    </oc>
    <nc r="F161">
      <v>0.5</v>
    </nc>
  </rcc>
  <rcc rId="1296" sId="1" numFmtId="4">
    <oc r="F163">
      <v>12</v>
    </oc>
    <nc r="F163">
      <v>83</v>
    </nc>
  </rcc>
  <rrc rId="1297" sId="1" ref="A164:XFD165" action="insertRow"/>
  <rm rId="1298" sheetId="1" source="A169:XFD170" destination="A164:XFD165" sourceSheetId="1">
    <rfmt sheetId="1" xfDxf="1" sqref="A164:XFD164" start="0" length="0">
      <dxf>
        <font>
          <name val="Times New Roman CYR"/>
          <family val="1"/>
        </font>
        <alignment wrapText="1"/>
      </dxf>
    </rfmt>
    <rfmt sheetId="1" xfDxf="1" sqref="A165:XFD165" start="0" length="0">
      <dxf>
        <font>
          <name val="Times New Roman CYR"/>
          <family val="1"/>
        </font>
        <alignment wrapText="1"/>
      </dxf>
    </rfmt>
    <rfmt sheetId="1" sqref="A164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99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rc rId="1300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cc rId="1301" sId="1" numFmtId="4">
    <oc r="F165">
      <f>9849+1199.1</f>
    </oc>
    <nc r="F165">
      <v>9757.6741000000002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функцион.структура!$A$1:$F$538</formula>
    <oldFormula>функцион.структура!$A$1:$F$538</oldFormula>
  </rdn>
  <rdn rId="0" localSheetId="1" customView="1" name="Z_629918FE_B1DF_464A_BF50_03D18729BC02_.wvu.FilterData" hidden="1" oldHidden="1">
    <formula>функцион.структура!$A$17:$K$545</formula>
    <oldFormula>функцион.структура!$A$17:$K$545</oldFormula>
  </rdn>
  <rcv guid="{629918FE-B1DF-464A-BF50-03D18729BC02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" sId="1" numFmtId="4">
    <oc r="F190">
      <v>22.6</v>
    </oc>
    <nc r="F190">
      <v>27.1</v>
    </nc>
  </rcc>
  <rcc rId="1305" sId="1" numFmtId="4">
    <oc r="F191">
      <v>6.8</v>
    </oc>
    <nc r="F191">
      <v>8.1999999999999993</v>
    </nc>
  </rcc>
  <rcc rId="1306" sId="1" numFmtId="4">
    <oc r="F193">
      <v>1960.6</v>
    </oc>
    <nc r="F193">
      <v>2354.8000000000002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7" sId="1" ref="A203:XFD207" action="insertRow"/>
  <rcc rId="1308" sId="1" odxf="1" dxf="1">
    <nc r="A203" t="inlineStr">
      <is>
        <t>Водное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309" sId="1" odxf="1" dxf="1">
    <nc r="B203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10" sId="1" odxf="1" dxf="1">
    <nc r="C203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311" sId="1" odxf="1" dxf="1">
    <nc r="F203">
      <f>F204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8" tint="0.79998168889431442"/>
        </patternFill>
      </fill>
    </ndxf>
  </rcc>
  <rfmt sheetId="1" sqref="G203" start="0" length="0">
    <dxf>
      <font>
        <i/>
        <name val="Times New Roman CYR"/>
        <family val="1"/>
      </font>
    </dxf>
  </rfmt>
  <rfmt sheetId="1" sqref="H203" start="0" length="0">
    <dxf>
      <font>
        <i/>
        <name val="Times New Roman CYR"/>
        <family val="1"/>
      </font>
    </dxf>
  </rfmt>
  <rfmt sheetId="1" sqref="I203" start="0" length="0">
    <dxf>
      <font>
        <i/>
        <name val="Times New Roman CYR"/>
        <family val="1"/>
      </font>
    </dxf>
  </rfmt>
  <rfmt sheetId="1" sqref="J203" start="0" length="0">
    <dxf>
      <font>
        <i/>
        <name val="Times New Roman CYR"/>
        <family val="1"/>
      </font>
    </dxf>
  </rfmt>
  <rfmt sheetId="1" sqref="K203" start="0" length="0">
    <dxf>
      <font>
        <i/>
        <name val="Times New Roman CYR"/>
        <family val="1"/>
      </font>
    </dxf>
  </rfmt>
  <rfmt sheetId="1" sqref="L203" start="0" length="0">
    <dxf>
      <font>
        <i/>
        <name val="Times New Roman CYR"/>
        <family val="1"/>
      </font>
    </dxf>
  </rfmt>
  <rfmt sheetId="1" sqref="M203" start="0" length="0">
    <dxf>
      <font>
        <i/>
        <name val="Times New Roman CYR"/>
        <family val="1"/>
      </font>
    </dxf>
  </rfmt>
  <rfmt sheetId="1" sqref="N203" start="0" length="0">
    <dxf>
      <font>
        <i/>
        <name val="Times New Roman CYR"/>
        <family val="1"/>
      </font>
    </dxf>
  </rfmt>
  <rfmt sheetId="1" sqref="O203" start="0" length="0">
    <dxf>
      <font>
        <i/>
        <name val="Times New Roman CYR"/>
        <family val="1"/>
      </font>
    </dxf>
  </rfmt>
  <rfmt sheetId="1" sqref="A203:XFD203" start="0" length="0">
    <dxf>
      <font>
        <i/>
        <name val="Times New Roman CYR"/>
        <family val="1"/>
      </font>
    </dxf>
  </rfmt>
  <rcc rId="1312" sId="1" odxf="1" dxf="1">
    <nc r="A20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313" sId="1" odxf="1" dxf="1">
    <nc r="B20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14" sId="1" odxf="1" dxf="1">
    <nc r="C204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15" sId="1" odxf="1" dxf="1">
    <nc r="D204" t="inlineStr">
      <is>
        <t>18000 00000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4" start="0" length="0">
    <dxf>
      <font>
        <b/>
        <name val="Times New Roman"/>
        <family val="1"/>
      </font>
    </dxf>
  </rfmt>
  <rcc rId="1316" sId="1" odxf="1" dxf="1">
    <nc r="F204">
      <f>F205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G204" start="0" length="0">
    <dxf>
      <font>
        <i/>
        <name val="Times New Roman CYR"/>
        <family val="1"/>
      </font>
    </dxf>
  </rfmt>
  <rfmt sheetId="1" sqref="H204" start="0" length="0">
    <dxf>
      <font>
        <i/>
        <name val="Times New Roman CYR"/>
        <family val="1"/>
      </font>
    </dxf>
  </rfmt>
  <rfmt sheetId="1" sqref="I204" start="0" length="0">
    <dxf>
      <font>
        <i/>
        <name val="Times New Roman CYR"/>
        <family val="1"/>
      </font>
    </dxf>
  </rfmt>
  <rfmt sheetId="1" sqref="J204" start="0" length="0">
    <dxf>
      <font>
        <i/>
        <name val="Times New Roman CYR"/>
        <family val="1"/>
      </font>
    </dxf>
  </rfmt>
  <rfmt sheetId="1" sqref="K204" start="0" length="0">
    <dxf>
      <font>
        <i/>
        <name val="Times New Roman CYR"/>
        <family val="1"/>
      </font>
    </dxf>
  </rfmt>
  <rfmt sheetId="1" sqref="L204" start="0" length="0">
    <dxf>
      <font>
        <i/>
        <name val="Times New Roman CYR"/>
        <family val="1"/>
      </font>
    </dxf>
  </rfmt>
  <rfmt sheetId="1" sqref="M204" start="0" length="0">
    <dxf>
      <font>
        <i/>
        <name val="Times New Roman CYR"/>
        <family val="1"/>
      </font>
    </dxf>
  </rfmt>
  <rfmt sheetId="1" sqref="N204" start="0" length="0">
    <dxf>
      <font>
        <i/>
        <name val="Times New Roman CYR"/>
        <family val="1"/>
      </font>
    </dxf>
  </rfmt>
  <rfmt sheetId="1" sqref="O204" start="0" length="0">
    <dxf>
      <font>
        <i/>
        <name val="Times New Roman CYR"/>
        <family val="1"/>
      </font>
    </dxf>
  </rfmt>
  <rfmt sheetId="1" sqref="A204:XFD204" start="0" length="0">
    <dxf>
      <font>
        <i/>
        <name val="Times New Roman CYR"/>
        <family val="1"/>
      </font>
    </dxf>
  </rfmt>
  <rcc rId="1317" sId="1" odxf="1" dxf="1">
    <nc r="A205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318" sId="1" odxf="1" dxf="1">
    <nc r="B20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9" sId="1" odxf="1" dxf="1">
    <nc r="C205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odxf="1" dxf="1">
    <nc r="D205" t="inlineStr">
      <is>
        <t>18001 00000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5" start="0" length="0">
    <dxf>
      <font>
        <i/>
        <name val="Times New Roman"/>
        <family val="1"/>
      </font>
    </dxf>
  </rfmt>
  <rcc rId="1321" sId="1" odxf="1" dxf="1">
    <nc r="F205">
      <f>F206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205" start="0" length="0">
    <dxf>
      <font>
        <i/>
        <name val="Times New Roman CYR"/>
        <family val="1"/>
      </font>
    </dxf>
  </rfmt>
  <rfmt sheetId="1" sqref="H205" start="0" length="0">
    <dxf>
      <font>
        <i/>
        <name val="Times New Roman CYR"/>
        <family val="1"/>
      </font>
    </dxf>
  </rfmt>
  <rfmt sheetId="1" sqref="I205" start="0" length="0">
    <dxf>
      <font>
        <i/>
        <name val="Times New Roman CYR"/>
        <family val="1"/>
      </font>
    </dxf>
  </rfmt>
  <rfmt sheetId="1" sqref="J205" start="0" length="0">
    <dxf>
      <font>
        <i/>
        <name val="Times New Roman CYR"/>
        <family val="1"/>
      </font>
    </dxf>
  </rfmt>
  <rfmt sheetId="1" sqref="K205" start="0" length="0">
    <dxf>
      <font>
        <i/>
        <name val="Times New Roman CYR"/>
        <family val="1"/>
      </font>
    </dxf>
  </rfmt>
  <rfmt sheetId="1" sqref="L205" start="0" length="0">
    <dxf>
      <font>
        <i/>
        <name val="Times New Roman CYR"/>
        <family val="1"/>
      </font>
    </dxf>
  </rfmt>
  <rfmt sheetId="1" sqref="M205" start="0" length="0">
    <dxf>
      <font>
        <i/>
        <name val="Times New Roman CYR"/>
        <family val="1"/>
      </font>
    </dxf>
  </rfmt>
  <rfmt sheetId="1" sqref="N205" start="0" length="0">
    <dxf>
      <font>
        <i/>
        <name val="Times New Roman CYR"/>
        <family val="1"/>
      </font>
    </dxf>
  </rfmt>
  <rfmt sheetId="1" sqref="O205" start="0" length="0">
    <dxf>
      <font>
        <i/>
        <name val="Times New Roman CYR"/>
        <family val="1"/>
      </font>
    </dxf>
  </rfmt>
  <rfmt sheetId="1" sqref="A205:XFD205" start="0" length="0">
    <dxf>
      <font>
        <i/>
        <name val="Times New Roman CYR"/>
        <family val="1"/>
      </font>
    </dxf>
  </rfmt>
  <rcc rId="1322" sId="1" odxf="1" dxf="1">
    <nc r="A206" t="inlineStr">
      <is>
        <t>Разработка проектно-сметной документации Дэбэнской защитной дамбы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323" sId="1" odxf="1" dxf="1">
    <nc r="B20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4" sId="1" odxf="1" dxf="1">
    <nc r="C206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5" sId="1" odxf="1" dxf="1">
    <nc r="D206" t="inlineStr">
      <is>
        <t>18001 S2080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b/>
        <i/>
        <name val="Times New Roman"/>
        <family val="1"/>
      </font>
    </dxf>
  </rfmt>
  <rcc rId="1326" sId="1" odxf="1" dxf="1">
    <nc r="F206">
      <f>F207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206" start="0" length="0">
    <dxf>
      <numFmt numFmtId="165" formatCode="0.00000"/>
    </dxf>
  </rfmt>
  <rfmt sheetId="1" sqref="I206" start="0" length="0">
    <dxf>
      <numFmt numFmtId="165" formatCode="0.00000"/>
    </dxf>
  </rfmt>
  <rfmt sheetId="1" sqref="J206" start="0" length="0">
    <dxf>
      <numFmt numFmtId="165" formatCode="0.00000"/>
    </dxf>
  </rfmt>
  <rfmt sheetId="1" sqref="K206" start="0" length="0">
    <dxf>
      <numFmt numFmtId="165" formatCode="0.00000"/>
    </dxf>
  </rfmt>
  <rcc rId="1327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328" sId="1">
    <nc r="B207" t="inlineStr">
      <is>
        <t>04</t>
      </is>
    </nc>
  </rcc>
  <rcc rId="1329" sId="1">
    <nc r="C207" t="inlineStr">
      <is>
        <t>06</t>
      </is>
    </nc>
  </rcc>
  <rcc rId="1330" sId="1">
    <nc r="D207" t="inlineStr">
      <is>
        <t>18001 S2080</t>
      </is>
    </nc>
  </rcc>
  <rcc rId="1331" sId="1">
    <nc r="E207" t="inlineStr">
      <is>
        <t>540</t>
      </is>
    </nc>
  </rcc>
  <rfmt sheetId="1" sqref="F207" start="0" length="0">
    <dxf>
      <fill>
        <patternFill patternType="solid">
          <bgColor theme="0"/>
        </patternFill>
      </fill>
    </dxf>
  </rfmt>
  <rfmt sheetId="1" sqref="G207" start="0" length="0">
    <dxf>
      <numFmt numFmtId="165" formatCode="0.00000"/>
    </dxf>
  </rfmt>
  <rfmt sheetId="1" sqref="I207" start="0" length="0">
    <dxf>
      <numFmt numFmtId="165" formatCode="0.00000"/>
    </dxf>
  </rfmt>
  <rfmt sheetId="1" sqref="J207" start="0" length="0">
    <dxf>
      <numFmt numFmtId="165" formatCode="0.00000"/>
    </dxf>
  </rfmt>
  <rfmt sheetId="1" sqref="K207" start="0" length="0">
    <dxf>
      <numFmt numFmtId="165" formatCode="0.00000"/>
    </dxf>
  </rfmt>
  <rcc rId="1332" sId="1" numFmtId="4">
    <nc r="F207">
      <v>3355.39914</v>
    </nc>
  </rcc>
  <rcc rId="1333" sId="1">
    <oc r="F175">
      <f>F176+F208+F216</f>
    </oc>
    <nc r="F175">
      <f>F176+F208+F216+F203</f>
    </nc>
  </rcc>
  <rrc rId="1334" sId="1" ref="A216:XFD217" action="insertRow"/>
  <rm rId="1335" sheetId="1" source="A211:XFD212" destination="A216:XFD217" sourceSheetId="1">
    <rfmt sheetId="1" xfDxf="1" sqref="A216:XFD216" start="0" length="0">
      <dxf>
        <font>
          <b/>
          <i/>
          <name val="Times New Roman CYR"/>
          <family val="1"/>
        </font>
        <alignment wrapText="1"/>
      </dxf>
    </rfmt>
    <rfmt sheetId="1" xfDxf="1" sqref="A217:XFD217" start="0" length="0">
      <dxf>
        <font>
          <b/>
          <i/>
          <name val="Times New Roman CYR"/>
          <family val="1"/>
        </font>
        <alignment wrapText="1"/>
      </dxf>
    </rfmt>
    <rfmt sheetId="1" sqref="A216" start="0" length="0">
      <dxf>
        <font>
          <b val="0"/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6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7" start="0" length="0">
      <dxf>
        <font>
          <b val="0"/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7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6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</rrc>
  <rrc rId="1337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функцион.структура!$A$1:$F$543</formula>
    <oldFormula>функцион.структура!$A$1:$F$543</oldFormula>
  </rdn>
  <rdn rId="0" localSheetId="1" customView="1" name="Z_629918FE_B1DF_464A_BF50_03D18729BC02_.wvu.FilterData" hidden="1" oldHidden="1">
    <formula>функцион.структура!$A$17:$K$550</formula>
    <oldFormula>функцион.структура!$A$17:$K$550</oldFormula>
  </rdn>
  <rcv guid="{629918FE-B1DF-464A-BF50-03D18729BC0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>
    <oc r="E223" t="inlineStr">
      <is>
        <t>244</t>
      </is>
    </oc>
    <nc r="E223" t="inlineStr">
      <is>
        <t>414</t>
      </is>
    </nc>
  </rcc>
  <rcc rId="710" sId="1" numFmtId="4">
    <oc r="F223">
      <v>0</v>
    </oc>
    <nc r="F223">
      <f>9677.7+1075.3</f>
    </nc>
  </rcc>
  <rcc rId="711" sId="1" xfDxf="1" dxf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0" sId="1">
    <oc r="F253">
      <f>692.16+105+43.87+66.04+22.5</f>
    </oc>
    <nc r="F253">
      <f>692.16+105+43.87+66.04+22.5-0.3</f>
    </nc>
  </rcc>
  <rcc rId="1341" sId="1" numFmtId="4">
    <oc r="F258">
      <v>150</v>
    </oc>
    <nc r="F258">
      <v>150.30000000000001</v>
    </nc>
  </rcc>
  <rrc rId="1342" sId="1" ref="A260:XFD261" action="insertRow"/>
  <rcc rId="1343" sId="1" odxf="1" dxf="1">
    <nc r="A260" t="inlineStr">
      <is>
        <t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4" sId="1" odxf="1" dxf="1">
    <nc r="B2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5" sId="1" odxf="1" dxf="1">
    <nc r="C26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6" sId="1" odxf="1" dxf="1">
    <nc r="D260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0" start="0" length="0">
    <dxf>
      <font>
        <i/>
        <name val="Times New Roman"/>
        <family val="1"/>
      </font>
    </dxf>
  </rfmt>
  <rcc rId="1347" sId="1" odxf="1" dxf="1">
    <nc r="F260">
      <f>F261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48" sId="1" odxf="1" dxf="1">
    <nc r="A261" t="inlineStr">
      <is>
        <t>Иные межбюджетные трансферты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nc r="B261" t="inlineStr">
      <is>
        <t>05</t>
      </is>
    </nc>
    <odxf/>
    <ndxf/>
  </rcc>
  <rcc rId="1350" sId="1" odxf="1" dxf="1">
    <nc r="C261" t="inlineStr">
      <is>
        <t>02</t>
      </is>
    </nc>
    <odxf/>
    <ndxf/>
  </rcc>
  <rcc rId="1351" sId="1" odxf="1" dxf="1">
    <nc r="D261" t="inlineStr">
      <is>
        <t>99900 S2980</t>
      </is>
    </nc>
    <odxf/>
    <ndxf/>
  </rcc>
  <rcc rId="1352" sId="1" odxf="1" dxf="1">
    <nc r="E261" t="inlineStr">
      <is>
        <t>540</t>
      </is>
    </nc>
    <odxf/>
    <ndxf/>
  </rcc>
  <rfmt sheetId="1" sqref="F261" start="0" length="0">
    <dxf>
      <fill>
        <patternFill patternType="solid">
          <bgColor theme="0"/>
        </patternFill>
      </fill>
    </dxf>
  </rfmt>
  <rcc rId="1353" sId="1" numFmtId="4">
    <nc r="F261">
      <v>2165.1093599999999</v>
    </nc>
  </rcc>
  <rcc rId="1354" sId="1">
    <oc r="F256">
      <f>F257</f>
    </oc>
    <nc r="F256">
      <f>F257+F260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5" sId="1" ref="A267:XFD267" action="insertRow"/>
  <rcc rId="1356" sId="1" odxf="1" dxf="1">
    <nc r="A267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357" sId="1" odxf="1" dxf="1">
    <nc r="B267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67" start="0" length="0">
    <dxf>
      <font>
        <b/>
        <name val="Times New Roman"/>
        <family val="1"/>
      </font>
    </dxf>
  </rfmt>
  <rcc rId="1358" sId="1" odxf="1" dxf="1">
    <nc r="D26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67" start="0" length="0">
    <dxf>
      <font>
        <b/>
        <name val="Times New Roman"/>
        <family val="1"/>
      </font>
    </dxf>
  </rfmt>
  <rfmt sheetId="1" sqref="F26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67" start="0" length="0">
    <dxf>
      <font>
        <i/>
        <name val="Times New Roman CYR"/>
        <family val="1"/>
      </font>
    </dxf>
  </rfmt>
  <rfmt sheetId="1" sqref="H267" start="0" length="0">
    <dxf>
      <font>
        <i/>
        <name val="Times New Roman CYR"/>
        <family val="1"/>
      </font>
    </dxf>
  </rfmt>
  <rfmt sheetId="1" sqref="I267" start="0" length="0">
    <dxf>
      <font>
        <i/>
        <name val="Times New Roman CYR"/>
        <family val="1"/>
      </font>
    </dxf>
  </rfmt>
  <rfmt sheetId="1" sqref="J267" start="0" length="0">
    <dxf>
      <font>
        <i/>
        <name val="Times New Roman CYR"/>
        <family val="1"/>
      </font>
    </dxf>
  </rfmt>
  <rfmt sheetId="1" sqref="K267" start="0" length="0">
    <dxf>
      <font>
        <i/>
        <name val="Times New Roman CYR"/>
        <family val="1"/>
      </font>
    </dxf>
  </rfmt>
  <rfmt sheetId="1" sqref="L267" start="0" length="0">
    <dxf>
      <font>
        <i/>
        <name val="Times New Roman CYR"/>
        <family val="1"/>
      </font>
    </dxf>
  </rfmt>
  <rfmt sheetId="1" sqref="M267" start="0" length="0">
    <dxf>
      <font>
        <i/>
        <name val="Times New Roman CYR"/>
        <family val="1"/>
      </font>
    </dxf>
  </rfmt>
  <rfmt sheetId="1" sqref="N267" start="0" length="0">
    <dxf>
      <font>
        <i/>
        <name val="Times New Roman CYR"/>
        <family val="1"/>
      </font>
    </dxf>
  </rfmt>
  <rfmt sheetId="1" sqref="O267" start="0" length="0">
    <dxf>
      <font>
        <i/>
        <name val="Times New Roman CYR"/>
        <family val="1"/>
      </font>
    </dxf>
  </rfmt>
  <rfmt sheetId="1" sqref="A267:XFD267" start="0" length="0">
    <dxf>
      <font>
        <i/>
        <name val="Times New Roman CYR"/>
        <family val="1"/>
      </font>
    </dxf>
  </rfmt>
  <rrc rId="1359" sId="1" ref="A268:XFD272" action="insertRow"/>
  <rfmt sheetId="1" sqref="A268" start="0" length="0">
    <dxf>
      <font>
        <b val="0"/>
        <i/>
        <name val="Times New Roman"/>
        <family val="1"/>
      </font>
      <alignment horizontal="general" vertical="top"/>
    </dxf>
  </rfmt>
  <rcc rId="1360" sId="1" odxf="1" dxf="1">
    <nc r="B26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68" start="0" length="0">
    <dxf>
      <font>
        <b val="0"/>
        <i/>
        <name val="Times New Roman"/>
        <family val="1"/>
      </font>
    </dxf>
  </rfmt>
  <rfmt sheetId="1" sqref="D268" start="0" length="0">
    <dxf>
      <font>
        <b val="0"/>
        <i/>
        <name val="Times New Roman"/>
        <family val="1"/>
      </font>
    </dxf>
  </rfmt>
  <rfmt sheetId="1" sqref="E268" start="0" length="0">
    <dxf>
      <font>
        <b val="0"/>
        <i/>
        <name val="Times New Roman"/>
        <family val="1"/>
      </font>
    </dxf>
  </rfmt>
  <rfmt sheetId="1" sqref="F268" start="0" length="0">
    <dxf>
      <font>
        <b val="0"/>
        <i/>
        <name val="Times New Roman"/>
        <family val="1"/>
      </font>
    </dxf>
  </rfmt>
  <rfmt sheetId="1" sqref="A269" start="0" length="0">
    <dxf>
      <font>
        <b val="0"/>
        <color indexed="8"/>
        <name val="Times New Roman"/>
        <family val="1"/>
      </font>
    </dxf>
  </rfmt>
  <rcc rId="1361" sId="1" odxf="1" dxf="1">
    <nc r="B269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269" start="0" length="0">
    <dxf>
      <font>
        <b val="0"/>
        <name val="Times New Roman"/>
        <family val="1"/>
      </font>
    </dxf>
  </rfmt>
  <rfmt sheetId="1" sqref="D269" start="0" length="0">
    <dxf>
      <font>
        <b val="0"/>
        <name val="Times New Roman"/>
        <family val="1"/>
      </font>
    </dxf>
  </rfmt>
  <rfmt sheetId="1" sqref="E269" start="0" length="0">
    <dxf>
      <font>
        <b val="0"/>
        <name val="Times New Roman"/>
        <family val="1"/>
      </font>
    </dxf>
  </rfmt>
  <rfmt sheetId="1" sqref="F269" start="0" length="0">
    <dxf>
      <font>
        <b val="0"/>
        <name val="Times New Roman"/>
        <family val="1"/>
      </font>
    </dxf>
  </rfmt>
  <rfmt sheetId="1" sqref="A270" start="0" length="0">
    <dxf>
      <font>
        <b val="0"/>
        <name val="Times New Roman"/>
        <family val="1"/>
      </font>
    </dxf>
  </rfmt>
  <rcc rId="1362" sId="1" odxf="1" dxf="1">
    <nc r="B27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63" sId="1" odxf="1" dxf="1">
    <nc r="C27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70" start="0" length="0">
    <dxf>
      <font>
        <b val="0"/>
        <name val="Times New Roman"/>
        <family val="1"/>
      </font>
    </dxf>
  </rfmt>
  <rfmt sheetId="1" sqref="E270" start="0" length="0">
    <dxf>
      <font>
        <b val="0"/>
        <name val="Times New Roman"/>
        <family val="1"/>
      </font>
    </dxf>
  </rfmt>
  <rfmt sheetId="1" sqref="F270" start="0" length="0">
    <dxf>
      <font>
        <b val="0"/>
        <name val="Times New Roman"/>
        <family val="1"/>
      </font>
    </dxf>
  </rfmt>
  <rfmt sheetId="1" sqref="A271" start="0" length="0">
    <dxf>
      <font>
        <b val="0"/>
        <i/>
        <name val="Times New Roman"/>
        <family val="1"/>
      </font>
    </dxf>
  </rfmt>
  <rcc rId="1364" sId="1" odxf="1" dxf="1">
    <nc r="B27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65" sId="1" odxf="1" dxf="1">
    <nc r="C271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71" start="0" length="0">
    <dxf>
      <font>
        <b val="0"/>
        <i/>
        <name val="Times New Roman"/>
        <family val="1"/>
      </font>
    </dxf>
  </rfmt>
  <rfmt sheetId="1" sqref="E271" start="0" length="0">
    <dxf>
      <font>
        <b val="0"/>
        <i/>
        <name val="Times New Roman"/>
        <family val="1"/>
      </font>
    </dxf>
  </rfmt>
  <rfmt sheetId="1" sqref="F271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</dxf>
  </rfmt>
  <rfmt sheetId="1" sqref="A2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366" sId="1" odxf="1" dxf="1">
    <nc r="B27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67" sId="1" odxf="1" dxf="1">
    <nc r="C272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72" start="0" length="0">
    <dxf>
      <font>
        <b val="0"/>
        <name val="Times New Roman"/>
        <family val="1"/>
      </font>
    </dxf>
  </rfmt>
  <rfmt sheetId="1" sqref="E272" start="0" length="0">
    <dxf>
      <font>
        <b val="0"/>
        <name val="Times New Roman"/>
        <family val="1"/>
      </font>
    </dxf>
  </rfmt>
  <rfmt sheetId="1" sqref="F2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368" sId="1">
    <nc r="C267" t="inlineStr">
      <is>
        <t>03</t>
      </is>
    </nc>
  </rcc>
  <rcc rId="1369" sId="1">
    <nc r="C268" t="inlineStr">
      <is>
        <t>03</t>
      </is>
    </nc>
  </rcc>
  <rcc rId="1370" sId="1">
    <oc r="F262">
      <f>F263</f>
    </oc>
    <nc r="F262">
      <f>F263+F267</f>
    </nc>
  </rcc>
  <rcc rId="1371" sId="1">
    <nc r="C269" t="inlineStr">
      <is>
        <t>03</t>
      </is>
    </nc>
  </rcc>
  <rcc rId="1372" sId="1">
    <nc r="D269" t="inlineStr">
      <is>
        <t>99900 55050</t>
      </is>
    </nc>
  </rcc>
  <rcc rId="1373" sId="1">
    <nc r="D270" t="inlineStr">
      <is>
        <t>99900 55050</t>
      </is>
    </nc>
  </rcc>
  <rfmt sheetId="1" sqref="A269:XFD269" start="0" length="2147483647">
    <dxf>
      <font>
        <i/>
      </font>
    </dxf>
  </rfmt>
  <rcc rId="1374" sId="1">
    <nc r="E269" t="inlineStr">
      <is>
        <t>540</t>
      </is>
    </nc>
  </rcc>
  <rcc rId="1375" sId="1">
    <nc r="E270" t="inlineStr">
      <is>
        <t>622</t>
      </is>
    </nc>
  </rcc>
  <rfmt sheetId="1" sqref="A269:XFD269" start="0" length="2147483647">
    <dxf>
      <font>
        <i val="0"/>
      </font>
    </dxf>
  </rfmt>
  <rcc rId="1376" sId="1" numFmtId="4">
    <nc r="F269">
      <v>52270</v>
    </nc>
  </rcc>
  <rcc rId="1377" sId="1" numFmtId="4">
    <nc r="F270">
      <v>52270</v>
    </nc>
  </rcc>
  <rfmt sheetId="1" sqref="A271:XFD271" start="0" length="2147483647">
    <dxf>
      <font>
        <i val="0"/>
      </font>
    </dxf>
  </rfmt>
  <rcc rId="1378" sId="1" numFmtId="4">
    <nc r="F271">
      <v>528</v>
    </nc>
  </rcc>
  <rcc rId="1379" sId="1" numFmtId="4">
    <nc r="F272">
      <v>528</v>
    </nc>
  </rcc>
  <rcc rId="1380" sId="1">
    <nc r="E271" t="inlineStr">
      <is>
        <t>540</t>
      </is>
    </nc>
  </rcc>
  <rcc rId="1381" sId="1">
    <nc r="E272" t="inlineStr">
      <is>
        <t>622</t>
      </is>
    </nc>
  </rcc>
  <rrc rId="1382" sId="1" ref="A271:XFD271" action="insertRow"/>
  <rfmt sheetId="1" sqref="A271" start="0" length="0">
    <dxf/>
  </rfmt>
  <rcc rId="1383" sId="1" odxf="1" dxf="1">
    <nc r="B271" t="inlineStr">
      <is>
        <t>05</t>
      </is>
    </nc>
    <odxf/>
    <ndxf/>
  </rcc>
  <rcc rId="1384" sId="1" odxf="1" dxf="1">
    <nc r="C271" t="inlineStr">
      <is>
        <t>02</t>
      </is>
    </nc>
    <odxf/>
    <ndxf/>
  </rcc>
  <rfmt sheetId="1" sqref="D271" start="0" length="0">
    <dxf/>
  </rfmt>
  <rfmt sheetId="1" sqref="E271" start="0" length="0">
    <dxf/>
  </rfmt>
  <rfmt sheetId="1" sqref="F271" start="0" length="0">
    <dxf>
      <fill>
        <patternFill patternType="solid">
          <bgColor theme="0"/>
        </patternFill>
      </fill>
    </dxf>
  </rfmt>
  <rfmt sheetId="1" sqref="A271:XFD271" start="0" length="2147483647">
    <dxf>
      <font>
        <i/>
      </font>
    </dxf>
  </rfmt>
  <rcc rId="1385" sId="1">
    <nc r="D272" t="inlineStr">
      <is>
        <t>99900 74330</t>
      </is>
    </nc>
  </rcc>
  <rcc rId="1386" sId="1">
    <nc r="D273" t="inlineStr">
      <is>
        <t>99900 74330</t>
      </is>
    </nc>
  </rcc>
  <rcc rId="1387" sId="1">
    <nc r="D271" t="inlineStr">
      <is>
        <t>99900 74330</t>
      </is>
    </nc>
  </rcc>
  <rcc rId="1388" sId="1">
    <nc r="D268" t="inlineStr">
      <is>
        <t>99900 55050</t>
      </is>
    </nc>
  </rcc>
  <rcc rId="1389" sId="1">
    <nc r="F268">
      <f>SUM(F269:F270)</f>
    </nc>
  </rcc>
  <rcc rId="1390" sId="1">
    <nc r="F271">
      <f>SUM(F272:F273)</f>
    </nc>
  </rcc>
  <rcc rId="1391" sId="1">
    <nc r="F267">
      <f>F268+F271</f>
    </nc>
  </rcc>
  <rcc rId="1392" sId="1" odxf="1" dxf="1">
    <nc r="A269" t="inlineStr">
      <is>
        <t>Иные межбюджетные трансферты</t>
      </is>
    </nc>
    <ndxf>
      <font>
        <color indexed="8"/>
        <name val="Times New Roman"/>
        <family val="1"/>
      </font>
    </ndxf>
  </rcc>
  <rcc rId="1393" sId="1" odxf="1" dxf="1">
    <nc r="A272" t="inlineStr">
      <is>
        <t>Иные межбюджетные трансферты</t>
      </is>
    </nc>
    <ndxf/>
  </rcc>
  <rcv guid="{629918FE-B1DF-464A-BF50-03D18729BC02}" action="delete"/>
  <rdn rId="0" localSheetId="1" customView="1" name="Z_629918FE_B1DF_464A_BF50_03D18729BC02_.wvu.PrintArea" hidden="1" oldHidden="1">
    <formula>функцион.структура!$A$1:$F$552</formula>
    <oldFormula>функцион.структура!$A$1:$F$552</oldFormula>
  </rdn>
  <rdn rId="0" localSheetId="1" customView="1" name="Z_629918FE_B1DF_464A_BF50_03D18729BC02_.wvu.FilterData" hidden="1" oldHidden="1">
    <formula>функцион.структура!$A$17:$K$559</formula>
    <oldFormula>функцион.структура!$A$17:$K$559</oldFormula>
  </rdn>
  <rcv guid="{629918FE-B1DF-464A-BF50-03D18729BC02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6" sId="1" numFmtId="4">
    <oc r="F280">
      <v>123194.7</v>
    </oc>
    <nc r="F280">
      <v>125717.6</v>
    </nc>
  </rcc>
  <rcc rId="1397" sId="1" numFmtId="4">
    <oc r="F282">
      <f>24857.03+1386.91+2000</f>
    </oc>
    <nc r="F282">
      <v>37513.24</v>
    </nc>
  </rcc>
  <rrc rId="1398" sId="1" ref="A283:XFD283" action="deleteRow">
    <undo index="65535" exp="ref" v="1" dr="F283" r="F281" sId="1"/>
    <rfmt sheetId="1" xfDxf="1" sqref="A283:XFD283" start="0" length="0">
      <dxf>
        <font>
          <name val="Times New Roman CYR"/>
          <family val="1"/>
        </font>
        <alignment wrapText="1"/>
      </dxf>
    </rfmt>
    <rcc rId="0" sId="1" dxf="1">
      <nc r="A28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99" sId="1">
    <oc r="F281">
      <f>F282+#REF!</f>
    </oc>
    <nc r="F281">
      <f>F282</f>
    </nc>
  </rcc>
  <rcc rId="1400" sId="1" numFmtId="4">
    <oc r="F284">
      <f>77465.3+1549.3</f>
    </oc>
    <nc r="F284">
      <v>77046.2</v>
    </nc>
  </rcc>
  <rcc rId="1401" sId="1" numFmtId="4">
    <oc r="F290">
      <v>30491.200000000001</v>
    </oc>
    <nc r="F290">
      <v>31113.8</v>
    </nc>
  </rcc>
  <rcc rId="1402" sId="1" numFmtId="4">
    <oc r="F292">
      <v>241729</v>
    </oc>
    <nc r="F292">
      <v>244059.9</v>
    </nc>
  </rcc>
  <rrc rId="1403" sId="1" ref="A297:XFD298" action="insertRow"/>
  <rm rId="1404" sheetId="1" source="A301:XFD302" destination="A297:XFD298" sourceSheetId="1">
    <rfmt sheetId="1" xfDxf="1" sqref="A297:XFD297" start="0" length="0">
      <dxf>
        <font>
          <i/>
          <name val="Times New Roman CYR"/>
          <family val="1"/>
        </font>
        <alignment wrapText="1"/>
      </dxf>
    </rfmt>
    <rfmt sheetId="1" xfDxf="1" sqref="A298:XFD298" start="0" length="0">
      <dxf>
        <font>
          <i/>
          <name val="Times New Roman CYR"/>
          <family val="1"/>
        </font>
        <alignment wrapText="1"/>
      </dxf>
    </rfmt>
    <rfmt sheetId="1" sqref="A29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05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</rrc>
  <rrc rId="1406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</rrc>
  <rcc rId="1407" sId="1" numFmtId="4">
    <oc r="F298">
      <f>57084.29-980.85-2000</f>
    </oc>
    <nc r="F298">
      <v>60027.042110000002</v>
    </nc>
  </rcc>
  <rrc rId="1408" sId="1" ref="A301:XFD301" action="deleteRow">
    <undo index="65535" exp="ref" v="1" dr="F301" r="F297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1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9" sId="1">
    <oc r="F297">
      <f>F298+#REF!</f>
    </oc>
    <nc r="F297">
      <f>F298</f>
    </nc>
  </rcc>
  <rrc rId="1410" sId="1" ref="A299:XFD300" action="insertRow"/>
  <rm rId="1411" sheetId="1" source="A303:XFD304" destination="A299:XFD300" sourceSheetId="1">
    <rfmt sheetId="1" xfDxf="1" sqref="A299:XFD299" start="0" length="0">
      <dxf>
        <font>
          <name val="Times New Roman CYR"/>
          <family val="1"/>
        </font>
        <alignment wrapText="1"/>
      </dxf>
    </rfmt>
    <rfmt sheetId="1" xfDxf="1" sqref="A300:XFD300" start="0" length="0">
      <dxf>
        <font>
          <name val="Times New Roman CYR"/>
          <family val="1"/>
        </font>
        <alignment wrapText="1"/>
      </dxf>
    </rfmt>
    <rfmt sheetId="1" sqref="A2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12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</rrc>
  <rrc rId="1413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</rrc>
  <rrc rId="1414" sId="1" ref="A301:XFD302" action="insertRow"/>
  <rm rId="1415" sheetId="1" source="A307:XFD308" destination="A301:XFD302" sourceSheetId="1">
    <rfmt sheetId="1" xfDxf="1" sqref="A301:XFD301" start="0" length="0">
      <dxf>
        <font>
          <name val="Times New Roman CYR"/>
          <family val="1"/>
        </font>
        <alignment wrapText="1"/>
      </dxf>
    </rfmt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01" start="0" length="0">
      <dxf>
        <numFmt numFmtId="165" formatCode="0.00000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02" start="0" length="0">
      <dxf>
        <numFmt numFmtId="165" formatCode="0.00000"/>
      </dxf>
    </rfmt>
  </rm>
  <rrc rId="1416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17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cc rId="1418" sId="1" numFmtId="4">
    <oc r="F302">
      <f>88367+7339.29</f>
    </oc>
    <nc r="F302">
      <v>103257.99479</v>
    </nc>
  </rcc>
  <rrc rId="1419" sId="1" ref="A303:XFD304" action="insertRow"/>
  <rm rId="1420" sheetId="1" source="A307:XFD308" destination="A303:XFD304" sourceSheetId="1">
    <rfmt sheetId="1" xfDxf="1" sqref="A303:XFD303" start="0" length="0">
      <dxf>
        <font>
          <i/>
          <name val="Times New Roman CYR"/>
          <family val="1"/>
        </font>
        <alignment wrapText="1"/>
      </dxf>
    </rfmt>
    <rfmt sheetId="1" xfDxf="1" sqref="A304:XFD304" start="0" length="0">
      <dxf>
        <font>
          <i/>
          <name val="Times New Roman CYR"/>
          <family val="1"/>
        </font>
        <alignment wrapText="1"/>
      </dxf>
    </rfmt>
    <rfmt sheetId="1" sqref="A30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4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21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22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23" sId="1" ref="A307:XFD307" action="deleteRow">
    <undo index="65535" exp="ref" v="1" dr="F307" r="F288" sId="1"/>
    <rfmt sheetId="1" xfDxf="1" sqref="A307:XFD307" start="0" length="0">
      <dxf>
        <font>
          <i/>
          <name val="Times New Roman CYR"/>
          <family val="1"/>
        </font>
        <alignment wrapText="1"/>
      </dxf>
    </rfmt>
    <rcc rId="0" sId="1" dxf="1">
      <nc r="A30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2021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7">
        <f>F308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24" sId="1" ref="A307:XFD307" action="deleteRow">
    <rfmt sheetId="1" xfDxf="1" sqref="A307:XFD307" start="0" length="0">
      <dxf>
        <font>
          <i/>
          <name val="Times New Roman CYR"/>
          <family val="1"/>
        </font>
        <alignment wrapText="1"/>
      </dxf>
    </rfmt>
    <rcc rId="0" sId="1" dxf="1">
      <nc r="A30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7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308:XFD308" start="0" length="2147483647">
    <dxf>
      <font>
        <i val="0"/>
      </font>
    </dxf>
  </rfmt>
  <rfmt sheetId="1" sqref="A308:XFD308" start="0" length="2147483647">
    <dxf>
      <font>
        <i/>
      </font>
    </dxf>
  </rfmt>
  <rfmt sheetId="1" sqref="A307:XFD307" start="0" length="2147483647">
    <dxf>
      <font>
        <i val="0"/>
      </font>
    </dxf>
  </rfmt>
  <rfmt sheetId="1" sqref="A307:XFD307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функцион.структура!$A$1:$F$548</formula>
    <oldFormula>функцион.структура!$A$1:$F$548</oldFormula>
  </rdn>
  <rdn rId="0" localSheetId="1" customView="1" name="Z_629918FE_B1DF_464A_BF50_03D18729BC02_.wvu.FilterData" hidden="1" oldHidden="1">
    <formula>функцион.структура!$A$17:$K$555</formula>
    <oldFormula>функцион.структура!$A$17:$K$555</oldFormula>
  </rdn>
  <rcv guid="{629918FE-B1DF-464A-BF50-03D18729BC02}" action="add"/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7" sId="1">
    <oc r="F288">
      <f>F291+F293+F297+F303+F301+#REF!+F290+F299+F305+F295</f>
    </oc>
    <nc r="F288">
      <f>F291+F293+F297+F303+F301+F290+F299+F305+F295</f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8" sId="1">
    <oc r="D312" t="inlineStr">
      <is>
        <t>102E2 50970</t>
      </is>
    </oc>
    <nc r="D312" t="inlineStr">
      <is>
        <t>10203 L7500</t>
      </is>
    </nc>
  </rcc>
  <rcc rId="1429" sId="1">
    <oc r="D311" t="inlineStr">
      <is>
        <t>102E2 50970</t>
      </is>
    </oc>
    <nc r="D311" t="inlineStr">
      <is>
        <t>10203 L7500</t>
      </is>
    </nc>
  </rcc>
  <rcc rId="1430" sId="1" numFmtId="4">
    <oc r="F312">
      <f>3300</f>
    </oc>
    <nc r="F312">
      <v>100798.73269999999</v>
    </nc>
  </rcc>
  <rfmt sheetId="1" sqref="A310:F311" start="0" length="2147483647">
    <dxf>
      <font>
        <i val="0"/>
      </font>
    </dxf>
  </rfmt>
  <rfmt sheetId="1" sqref="A310:F311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>
    <oc r="A311" t="inlineStr">
      <is>
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</is>
    </oc>
    <nc r="A311"/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" sId="1" numFmtId="4">
    <oc r="F314">
      <f>16724.2+1011.7</f>
    </oc>
    <nc r="F314">
      <v>9500.7442499999997</v>
    </nc>
  </rcc>
  <rrc rId="1433" sId="1" ref="A315:XFD316" action="insertRow"/>
  <rfmt sheetId="1" sqref="A315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cc rId="1434" sId="1" odxf="1" dxf="1">
    <nc r="B31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5" sId="1" odxf="1" dxf="1">
    <nc r="C31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5" start="0" length="0">
    <dxf>
      <font>
        <i/>
        <name val="Times New Roman"/>
        <family val="1"/>
      </font>
    </dxf>
  </rfmt>
  <rfmt sheetId="1" sqref="E315" start="0" length="0">
    <dxf>
      <font>
        <i/>
        <name val="Times New Roman"/>
        <family val="1"/>
      </font>
    </dxf>
  </rfmt>
  <rcc rId="1436" sId="1" odxf="1" dxf="1">
    <nc r="F315">
      <f>F316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7" sId="1">
    <nc r="A316" t="inlineStr">
      <is>
        <t>Субсидии бюджетным учреждениям на иные цели</t>
      </is>
    </nc>
  </rcc>
  <rcc rId="1438" sId="1">
    <nc r="B316" t="inlineStr">
      <is>
        <t>07</t>
      </is>
    </nc>
  </rcc>
  <rcc rId="1439" sId="1">
    <nc r="C316" t="inlineStr">
      <is>
        <t>02</t>
      </is>
    </nc>
  </rcc>
  <rcc rId="1440" sId="1">
    <nc r="E316" t="inlineStr">
      <is>
        <t>612</t>
      </is>
    </nc>
  </rcc>
  <rcc rId="1441" sId="1">
    <nc r="D315" t="inlineStr">
      <is>
        <t>102E2 50970</t>
      </is>
    </nc>
  </rcc>
  <rcc rId="1442" sId="1">
    <nc r="D316" t="inlineStr">
      <is>
        <t>102E2 50970</t>
      </is>
    </nc>
  </rcc>
  <rcc rId="1443" sId="1" numFmtId="4">
    <nc r="F316">
      <v>3333.33</v>
    </nc>
  </rcc>
  <rcc rId="1444" sId="1">
    <oc r="F310">
      <f>F313+F311</f>
    </oc>
    <nc r="F310">
      <f>F313+F311+F315</f>
    </nc>
  </rcc>
  <rcc rId="1445" sId="1" numFmtId="4">
    <oc r="F319">
      <f>20000+15500</f>
    </oc>
    <nc r="F319">
      <v>938</v>
    </nc>
  </rcc>
  <rcc rId="1446" sId="1">
    <oc r="E319" t="inlineStr">
      <is>
        <t>244</t>
      </is>
    </oc>
    <nc r="E319" t="inlineStr">
      <is>
        <t>414</t>
      </is>
    </nc>
  </rcc>
  <rfmt sheetId="1" sqref="A319" start="0" length="0">
    <dxf>
      <fill>
        <patternFill>
          <bgColor indexed="9"/>
        </patternFill>
      </fill>
    </dxf>
  </rfmt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47" sId="1" ref="A324:XFD325" action="insertRow"/>
  <rm rId="1448" sheetId="1" source="A330:XFD331" destination="A324:XFD325" sourceSheetId="1"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sqref="A32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5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49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</rrc>
  <rrc rId="1450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</rrc>
  <rfmt sheetId="1" sqref="F325">
    <dxf>
      <fill>
        <patternFill>
          <bgColor theme="0"/>
        </patternFill>
      </fill>
    </dxf>
  </rfmt>
  <rcc rId="1451" sId="1" numFmtId="4">
    <oc r="F325">
      <f>8711.8-2100</f>
    </oc>
    <nc r="F325">
      <v>6891.48</v>
    </nc>
  </rcc>
  <rfmt sheetId="1" sqref="F324" start="0" length="2147483647">
    <dxf>
      <font>
        <i/>
      </font>
    </dxf>
  </rfmt>
  <rfmt sheetId="1" sqref="F328" start="0" length="2147483647">
    <dxf>
      <font>
        <i/>
      </font>
    </dxf>
  </rfmt>
  <rcc rId="1452" sId="1" numFmtId="4">
    <oc r="F334">
      <f>10546.06-2198.7-406.06</f>
    </oc>
    <nc r="F334">
      <v>8941.2999999999993</v>
    </nc>
  </rcc>
  <rcc rId="1453" sId="1" numFmtId="4">
    <oc r="F335">
      <f>26548.07-170-8800</f>
    </oc>
    <nc r="F335">
      <v>19078.07</v>
    </nc>
  </rcc>
  <rfmt sheetId="1" sqref="F357" start="0" length="2147483647">
    <dxf>
      <font>
        <b val="0"/>
      </font>
    </dxf>
  </rfmt>
  <rfmt sheetId="1" sqref="A356" start="0" length="2147483647">
    <dxf>
      <font>
        <i/>
      </font>
    </dxf>
  </rfmt>
  <rfmt sheetId="1" sqref="A354:F354" start="0" length="2147483647">
    <dxf>
      <font>
        <b val="0"/>
      </font>
    </dxf>
  </rfmt>
  <rfmt sheetId="1" sqref="A354:F354" start="0" length="2147483647">
    <dxf>
      <font>
        <b/>
      </font>
    </dxf>
  </rfmt>
  <rfmt sheetId="1" sqref="F353" start="0" length="2147483647">
    <dxf>
      <font>
        <i val="0"/>
      </font>
    </dxf>
  </rfmt>
  <rfmt sheetId="1" sqref="A361:F361" start="0" length="2147483647">
    <dxf>
      <font>
        <i/>
      </font>
    </dxf>
  </rfmt>
  <rfmt sheetId="1" sqref="A361:F361" start="0" length="2147483647">
    <dxf>
      <font>
        <i val="0"/>
      </font>
    </dxf>
  </rfmt>
  <rcc rId="1454" sId="1" numFmtId="4">
    <oc r="F361">
      <v>1273.3</v>
    </oc>
    <nc r="F361">
      <v>1285.46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функцион.структура!$A$1:$F$550</formula>
    <oldFormula>функцион.структура!$A$1:$F$550</oldFormula>
  </rdn>
  <rdn rId="0" localSheetId="1" customView="1" name="Z_629918FE_B1DF_464A_BF50_03D18729BC02_.wvu.FilterData" hidden="1" oldHidden="1">
    <formula>функцион.структура!$A$17:$K$557</formula>
    <oldFormula>функцион.структура!$A$17:$K$557</oldFormula>
  </rdn>
  <rcv guid="{629918FE-B1DF-464A-BF50-03D18729BC02}" action="add"/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57" sId="1" ref="A367:XFD367" action="deleteRow">
    <undo index="0" exp="ref" v="1" dr="F367" r="F365" sId="1"/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58" sId="1">
    <oc r="F365">
      <f>#REF!+F366</f>
    </oc>
    <nc r="F365">
      <f>F366</f>
    </nc>
  </rcc>
  <rfmt sheetId="1" sqref="F366" start="0" length="2147483647">
    <dxf>
      <font>
        <i val="0"/>
      </font>
    </dxf>
  </rfmt>
  <rcc rId="1459" sId="1" numFmtId="4">
    <oc r="F368">
      <v>4805.2</v>
    </oc>
    <nc r="F368">
      <v>4805.2380000000003</v>
    </nc>
  </rcc>
  <rrc rId="1460" sId="1" ref="A369:XFD369" action="deleteRow">
    <undo index="65535" exp="ref" v="1" dr="F369" r="F367" sId="1"/>
    <rfmt sheetId="1" xfDxf="1" sqref="A369:XFD369" start="0" length="0">
      <dxf>
        <font>
          <i/>
          <name val="Times New Roman CYR"/>
          <family val="1"/>
        </font>
        <alignment wrapText="1"/>
      </dxf>
    </rfmt>
    <rcc rId="0" sId="1" dxf="1">
      <nc r="A36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9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61" sId="1">
    <oc r="F367">
      <f>F368+#REF!</f>
    </oc>
    <nc r="F367">
      <f>F368</f>
    </nc>
  </rcc>
  <rfmt sheetId="1" sqref="F368" start="0" length="2147483647">
    <dxf>
      <font>
        <i val="0"/>
      </font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2" sId="1" numFmtId="4">
    <oc r="F377">
      <v>55.37</v>
    </oc>
    <nc r="F377">
      <v>55.353999999999999</v>
    </nc>
  </rcc>
  <rcc rId="1463" sId="1" numFmtId="4">
    <oc r="F378">
      <v>16.73</v>
    </oc>
    <nc r="F378">
      <v>16.725000000000001</v>
    </nc>
  </rcc>
  <rcc rId="1464" sId="1" numFmtId="4">
    <oc r="F387">
      <f>21366.39-8000</f>
    </oc>
    <nc r="F387">
      <v>6296.42</v>
    </nc>
  </rcc>
  <rcc rId="1465" sId="1" numFmtId="4">
    <oc r="F388">
      <f>6452.65-2400</f>
    </oc>
    <nc r="F388">
      <v>1917.52</v>
    </nc>
  </rcc>
  <rcc rId="1466" sId="1" numFmtId="4">
    <oc r="F389">
      <f>180+650.69</f>
    </oc>
    <nc r="F389">
      <v>830.68</v>
    </nc>
  </rcc>
  <rcc rId="1467" sId="1" numFmtId="4">
    <oc r="F391">
      <v>1049.6500000000001</v>
    </oc>
    <nc r="F391">
      <v>1049.6600000000001</v>
    </nc>
  </rcc>
  <rrc rId="1468" sId="1" ref="A394:XFD396" action="insertRow"/>
  <rfmt sheetId="1" sqref="A394" start="0" length="0">
    <dxf>
      <font>
        <i/>
        <color indexed="8"/>
        <name val="Times New Roman"/>
        <family val="1"/>
      </font>
    </dxf>
  </rfmt>
  <rcc rId="1469" sId="1" odxf="1" dxf="1">
    <nc r="B3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70" sId="1" odxf="1" dxf="1">
    <nc r="C394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94" start="0" length="0">
    <dxf>
      <font>
        <i/>
        <name val="Times New Roman"/>
        <family val="1"/>
      </font>
    </dxf>
  </rfmt>
  <rfmt sheetId="1" sqref="E394" start="0" length="0">
    <dxf>
      <font>
        <i/>
        <name val="Times New Roman"/>
        <family val="1"/>
      </font>
    </dxf>
  </rfmt>
  <rcc rId="1471" sId="1" odxf="1" dxf="1">
    <nc r="F394">
      <f>F395+F396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472" sId="1" odxf="1" dxf="1">
    <nc r="A39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73" sId="1">
    <nc r="B395" t="inlineStr">
      <is>
        <t>07</t>
      </is>
    </nc>
  </rcc>
  <rcc rId="1474" sId="1">
    <nc r="C395" t="inlineStr">
      <is>
        <t>09</t>
      </is>
    </nc>
  </rcc>
  <rcc rId="1475" sId="1">
    <nc r="E395" t="inlineStr">
      <is>
        <t>111</t>
      </is>
    </nc>
  </rcc>
  <rfmt sheetId="1" sqref="F395" start="0" length="0">
    <dxf>
      <fill>
        <patternFill patternType="solid">
          <bgColor theme="0"/>
        </patternFill>
      </fill>
    </dxf>
  </rfmt>
  <rcc rId="1476" sId="1">
    <nc r="A39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77" sId="1">
    <nc r="B396" t="inlineStr">
      <is>
        <t>07</t>
      </is>
    </nc>
  </rcc>
  <rcc rId="1478" sId="1">
    <nc r="C396" t="inlineStr">
      <is>
        <t>09</t>
      </is>
    </nc>
  </rcc>
  <rcc rId="1479" sId="1">
    <nc r="E396" t="inlineStr">
      <is>
        <t>119</t>
      </is>
    </nc>
  </rcc>
  <rfmt sheetId="1" sqref="F396" start="0" length="0">
    <dxf>
      <fill>
        <patternFill patternType="solid">
          <bgColor theme="0"/>
        </patternFill>
      </fill>
    </dxf>
  </rfmt>
  <rcc rId="1480" sId="1" numFmtId="4">
    <nc r="F395">
      <v>9180.5</v>
    </nc>
  </rcc>
  <rcc rId="1481" sId="1" numFmtId="4">
    <nc r="F396">
      <v>2772.5</v>
    </nc>
  </rcc>
  <rcc rId="1482" sId="1">
    <nc r="D394" t="inlineStr">
      <is>
        <t>10501 S2160</t>
      </is>
    </nc>
  </rcc>
  <rcc rId="1483" sId="1">
    <nc r="D395" t="inlineStr">
      <is>
        <t>10501  S2160</t>
      </is>
    </nc>
  </rcc>
  <rcc rId="1484" sId="1">
    <nc r="D396" t="inlineStr">
      <is>
        <t>10501 S2160</t>
      </is>
    </nc>
  </rcc>
  <rcc rId="1485" sId="1" odxf="1" dxf="1">
    <nc r="A394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2" sId="1">
    <oc r="H239">
      <f>F248+F243+F254+F256+F258+F260+F262+F267+F269+F271+F296+F307+F323+F326+F328+F335+1800</f>
    </oc>
    <nc r="H239">
      <f>F248+F243+F254+F256+F258+F260+F262+F267+F269+F271+F296+F307+F323+F326+F328+F335+1800+F274+F245+F263+F293+F338+F356+F359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6" sId="1">
    <oc r="F380">
      <f>F383+F386+F381+F397</f>
    </oc>
    <nc r="F380">
      <f>F383+F386+F381+F397+F394</f>
    </nc>
  </rcc>
  <rfmt sheetId="1" sqref="A405" start="0" length="2147483647">
    <dxf>
      <font>
        <i/>
      </font>
    </dxf>
  </rfmt>
  <rfmt sheetId="1" sqref="B405:D405" start="0" length="2147483647">
    <dxf>
      <font>
        <i/>
      </font>
    </dxf>
  </rfmt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87" sId="1" ref="A412:XFD413" action="insertRow"/>
  <rm rId="1488" sheetId="1" source="A418:XFD419" destination="A412:XFD413" sourceSheetId="1">
    <rfmt sheetId="1" xfDxf="1" sqref="A412:XFD412" start="0" length="0">
      <dxf>
        <font>
          <name val="Times New Roman CYR"/>
          <family val="1"/>
        </font>
        <alignment wrapText="1"/>
      </dxf>
    </rfmt>
    <rfmt sheetId="1" xfDxf="1" sqref="A413:XFD413" start="0" length="0">
      <dxf>
        <font>
          <name val="Times New Roman CYR"/>
          <family val="1"/>
        </font>
        <alignment wrapText="1"/>
      </dxf>
    </rfmt>
    <rfmt sheetId="1" sqref="A41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89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</rrc>
  <rrc rId="1490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</rrc>
  <rrc rId="1491" sId="1" ref="A416:XFD416" action="deleteRow">
    <undo index="65535" exp="ref" v="1" dr="F416" r="F411" sId="1"/>
    <rfmt sheetId="1" xfDxf="1" sqref="A416:XFD416" start="0" length="0">
      <dxf>
        <font>
          <i/>
          <name val="Times New Roman CYR"/>
          <family val="1"/>
        </font>
        <alignment wrapText="1"/>
      </dxf>
    </rfmt>
    <rcc rId="0" sId="1" dxf="1">
      <nc r="A416" t="inlineStr">
        <is>
          <t>Иные межбюджетные трансферты на комплектование книжных фондов муниципальных библиотек на 2021 год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6">
        <f>F417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92" sId="1" ref="A416:XFD416" action="deleteRow">
    <rfmt sheetId="1" xfDxf="1" sqref="A416:XFD416" start="0" length="0">
      <dxf>
        <font>
          <i/>
          <name val="Times New Roman CYR"/>
          <family val="1"/>
        </font>
        <alignment wrapText="1"/>
      </dxf>
    </rfmt>
    <rcc rId="0" sId="1" dxf="1">
      <nc r="A416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08101 S2E70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93" sId="1">
    <oc r="F411">
      <f>F414+F412+#REF!</f>
    </oc>
    <nc r="F411">
      <f>F414+F412</f>
    </nc>
  </rcc>
  <rrc rId="1494" sId="1" ref="A418:XFD419" action="insertRow"/>
  <rm rId="1495" sheetId="1" source="A424:XFD425" destination="A418:XFD419" sourceSheetId="1">
    <rfmt sheetId="1" xfDxf="1" sqref="A418:XFD418" start="0" length="0">
      <dxf>
        <font>
          <name val="Times New Roman CYR"/>
          <family val="1"/>
        </font>
        <alignment wrapText="1"/>
      </dxf>
    </rfmt>
    <rfmt sheetId="1" xfDxf="1" sqref="A419:XFD419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96" sId="1" ref="A424:XFD424" action="deleteRow">
    <rfmt sheetId="1" xfDxf="1" sqref="A424:XFD424" start="0" length="0">
      <dxf>
        <font>
          <name val="Times New Roman CYR"/>
          <family val="1"/>
        </font>
        <alignment wrapText="1"/>
      </dxf>
    </rfmt>
  </rrc>
  <rrc rId="1497" sId="1" ref="A424:XFD424" action="deleteRow">
    <rfmt sheetId="1" xfDxf="1" sqref="A424:XFD424" start="0" length="0">
      <dxf>
        <font>
          <name val="Times New Roman CYR"/>
          <family val="1"/>
        </font>
        <alignment wrapText="1"/>
      </dxf>
    </rfmt>
  </rrc>
  <rfmt sheetId="1" sqref="F419">
    <dxf>
      <fill>
        <patternFill>
          <bgColor theme="0"/>
        </patternFill>
      </fill>
    </dxf>
  </rfmt>
  <rcc rId="1498" sId="1" numFmtId="4">
    <oc r="F419">
      <f>11622.2-2500</f>
    </oc>
    <nc r="F419">
      <v>9107.0210299999999</v>
    </nc>
  </rcc>
  <rfmt sheetId="1" sqref="A418:F418" start="0" length="2147483647">
    <dxf>
      <font>
        <i/>
      </font>
    </dxf>
  </rfmt>
  <rrc rId="1499" sId="1" ref="A420:XFD421" action="insertRow"/>
  <rm rId="1500" sheetId="1" source="A426:XFD427" destination="A420:XFD421" sourceSheetId="1">
    <rfmt sheetId="1" xfDxf="1" sqref="A420:XFD420" start="0" length="0">
      <dxf>
        <font>
          <name val="Times New Roman CYR"/>
          <family val="1"/>
        </font>
        <alignment wrapText="1"/>
      </dxf>
    </rfmt>
    <rfmt sheetId="1" xfDxf="1" sqref="A421:XFD421" start="0" length="0">
      <dxf>
        <font>
          <name val="Times New Roman CYR"/>
          <family val="1"/>
        </font>
        <alignment wrapText="1"/>
      </dxf>
    </rfmt>
    <rfmt sheetId="1" sqref="A42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0" start="0" length="0">
      <dxf>
        <numFmt numFmtId="165" formatCode="0.00000"/>
      </dxf>
    </rfmt>
    <rfmt sheetId="1" sqref="A42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1" start="0" length="0">
      <dxf>
        <numFmt numFmtId="165" formatCode="0.00000"/>
      </dxf>
    </rfmt>
  </rm>
  <rrc rId="1501" sId="1" ref="A426:XFD426" action="deleteRow">
    <rfmt sheetId="1" xfDxf="1" sqref="A426:XFD426" start="0" length="0">
      <dxf>
        <font>
          <name val="Times New Roman CYR"/>
          <family val="1"/>
        </font>
        <alignment wrapText="1"/>
      </dxf>
    </rfmt>
  </rrc>
  <rrc rId="1502" sId="1" ref="A426:XFD426" action="deleteRow">
    <rfmt sheetId="1" xfDxf="1" sqref="A426:XFD426" start="0" length="0">
      <dxf>
        <font>
          <name val="Times New Roman CYR"/>
          <family val="1"/>
        </font>
        <alignment wrapText="1"/>
      </dxf>
    </rfmt>
  </rrc>
  <rcc rId="1503" sId="1">
    <oc r="D420" t="inlineStr">
      <is>
        <t>08201 R4670</t>
      </is>
    </oc>
    <nc r="D420" t="inlineStr">
      <is>
        <t>08201 L4670</t>
      </is>
    </nc>
  </rcc>
  <rcc rId="1504" sId="1">
    <oc r="D421" t="inlineStr">
      <is>
        <t>08201 R4670</t>
      </is>
    </oc>
    <nc r="D421" t="inlineStr">
      <is>
        <t>08201 L4670</t>
      </is>
    </nc>
  </rcc>
  <rcc rId="1505" sId="1" numFmtId="4">
    <nc r="F421">
      <v>758.94853999999998</v>
    </nc>
  </rcc>
  <rfmt sheetId="1" sqref="F420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функцион.структура!$A$1:$F$549</formula>
    <oldFormula>функцион.структура!$A$1:$F$549</oldFormula>
  </rdn>
  <rdn rId="0" localSheetId="1" customView="1" name="Z_629918FE_B1DF_464A_BF50_03D18729BC02_.wvu.FilterData" hidden="1" oldHidden="1">
    <formula>функцион.структура!$A$17:$K$556</formula>
    <oldFormula>функцион.структура!$A$17:$K$556</oldFormula>
  </rdn>
  <rcv guid="{629918FE-B1DF-464A-BF50-03D18729BC02}" action="add"/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8" sId="1" ref="A426:XFD427" action="insertRow"/>
  <rfmt sheetId="1" sqref="A426" start="0" length="0">
    <dxf>
      <font>
        <i/>
        <color indexed="8"/>
        <name val="Times New Roman"/>
        <family val="1"/>
      </font>
    </dxf>
  </rfmt>
  <rcc rId="1509" sId="1">
    <nc r="B426" t="inlineStr">
      <is>
        <t>08</t>
      </is>
    </nc>
  </rcc>
  <rcc rId="1510" sId="1">
    <nc r="C426" t="inlineStr">
      <is>
        <t>01</t>
      </is>
    </nc>
  </rcc>
  <rfmt sheetId="1" sqref="D426" start="0" length="0">
    <dxf>
      <font>
        <i/>
        <name val="Times New Roman"/>
        <family val="1"/>
      </font>
    </dxf>
  </rfmt>
  <rfmt sheetId="1" sqref="E426" start="0" length="0">
    <dxf>
      <font>
        <i/>
        <name val="Times New Roman"/>
        <family val="1"/>
      </font>
    </dxf>
  </rfmt>
  <rcc rId="1511" sId="1">
    <nc r="F426">
      <f>F427</f>
    </nc>
  </rcc>
  <rcc rId="1512" sId="1">
    <nc r="A42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513" sId="1">
    <nc r="B427" t="inlineStr">
      <is>
        <t>08</t>
      </is>
    </nc>
  </rcc>
  <rcc rId="1514" sId="1">
    <nc r="C427" t="inlineStr">
      <is>
        <t>01</t>
      </is>
    </nc>
  </rcc>
  <rcc rId="1515" sId="1">
    <nc r="E427" t="inlineStr">
      <is>
        <t>621</t>
      </is>
    </nc>
  </rcc>
  <rcc rId="1516" sId="1" numFmtId="4">
    <nc r="F427">
      <v>2500</v>
    </nc>
  </rcc>
  <rcc rId="1517" sId="1">
    <nc r="D427" t="inlineStr">
      <is>
        <t>082A3 54530</t>
      </is>
    </nc>
  </rcc>
  <rcc rId="1518" sId="1" odxf="1" dxf="1">
    <nc r="D426" t="inlineStr">
      <is>
        <t>082A3 54530</t>
      </is>
    </nc>
    <ndxf>
      <font>
        <i val="0"/>
        <name val="Times New Roman"/>
        <family val="1"/>
      </font>
    </ndxf>
  </rcc>
  <rfmt sheetId="1" sqref="A426:F426" start="0" length="2147483647">
    <dxf>
      <font>
        <i val="0"/>
      </font>
    </dxf>
  </rfmt>
  <rfmt sheetId="1" sqref="A426:F426" start="0" length="2147483647">
    <dxf>
      <font>
        <i/>
      </font>
    </dxf>
  </rfmt>
  <rfmt sheetId="1" sqref="F424" start="0" length="2147483647">
    <dxf>
      <font>
        <i/>
      </font>
    </dxf>
  </rfmt>
  <rcc rId="1519" sId="1" xfDxf="1" dxf="1">
    <nc r="A426" t="inlineStr">
      <is>
        <t>Создание виртуальных концертных залов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20" sId="1" ref="A431:XFD431" action="deleteRow">
    <undo index="65535" exp="area" dr="F431:F433" r="F430" sId="1"/>
    <rfmt sheetId="1" xfDxf="1" sqref="A431:XFD431" start="0" length="0">
      <dxf>
        <font>
          <name val="Times New Roman CYR"/>
          <family val="1"/>
        </font>
        <alignment wrapText="1"/>
      </dxf>
    </rfmt>
    <rcc rId="0" sId="1" dxf="1">
      <nc r="A43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1" start="0" length="0">
      <dxf>
        <numFmt numFmtId="165" formatCode="0.00000"/>
      </dxf>
    </rfmt>
    <rfmt sheetId="1" sqref="I431" start="0" length="0">
      <dxf>
        <numFmt numFmtId="165" formatCode="0.00000"/>
      </dxf>
    </rfmt>
  </rrc>
  <rcc rId="1521" sId="1" numFmtId="4">
    <oc r="F431">
      <v>780</v>
    </oc>
    <nc r="F431">
      <v>745</v>
    </nc>
  </rcc>
  <rcc rId="1522" sId="1" numFmtId="4">
    <oc r="F432">
      <v>0</v>
    </oc>
    <nc r="F432">
      <v>12</v>
    </nc>
  </rcc>
  <rrc rId="1523" sId="1" ref="A433:XFD434" action="insertRow"/>
  <rcc rId="1524" sId="1" odxf="1" dxf="1">
    <nc r="A433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525" sId="1" odxf="1" dxf="1">
    <nc r="B43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 odxf="1" dxf="1">
    <nc r="C43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33" start="0" length="0">
    <dxf>
      <font>
        <i/>
        <name val="Times New Roman"/>
        <family val="1"/>
      </font>
    </dxf>
  </rfmt>
  <rfmt sheetId="1" sqref="E433" start="0" length="0">
    <dxf>
      <font>
        <i/>
        <name val="Times New Roman"/>
        <family val="1"/>
      </font>
    </dxf>
  </rfmt>
  <rfmt sheetId="1" sqref="F4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527" sId="1">
    <nc r="B434" t="inlineStr">
      <is>
        <t>08</t>
      </is>
    </nc>
  </rcc>
  <rcc rId="1528" sId="1">
    <nc r="C434" t="inlineStr">
      <is>
        <t>01</t>
      </is>
    </nc>
  </rcc>
  <rcc rId="1529" sId="1" numFmtId="4">
    <nc r="F434">
      <v>3256.6</v>
    </nc>
  </rcc>
  <rcc rId="1530" sId="1">
    <nc r="D433" t="inlineStr">
      <is>
        <t>084A1 55130</t>
      </is>
    </nc>
  </rcc>
  <rcc rId="1531" sId="1" odxf="1" dxf="1">
    <nc r="D434" t="inlineStr">
      <is>
        <t>084A1 55130</t>
      </is>
    </nc>
    <ndxf>
      <font>
        <i/>
        <name val="Times New Roman"/>
        <family val="1"/>
      </font>
    </ndxf>
  </rcc>
  <rfmt sheetId="1" sqref="D434" start="0" length="2147483647">
    <dxf>
      <font>
        <i val="0"/>
      </font>
    </dxf>
  </rfmt>
  <rcc rId="1532" sId="1">
    <nc r="E434" t="inlineStr">
      <is>
        <t>540</t>
      </is>
    </nc>
  </rcc>
  <rcc rId="1533" sId="1">
    <nc r="A434" t="inlineStr">
      <is>
        <t>Иные межбюджетные трансфетры</t>
      </is>
    </nc>
  </rcc>
  <rcc rId="1534" sId="1">
    <oc r="D435" t="inlineStr">
      <is>
        <t>084A1 55190</t>
      </is>
    </oc>
    <nc r="D435" t="inlineStr">
      <is>
        <t>084A2 55190</t>
      </is>
    </nc>
  </rcc>
  <rcc rId="1535" sId="1">
    <oc r="D436" t="inlineStr">
      <is>
        <t>084A1 55190</t>
      </is>
    </oc>
    <nc r="D436" t="inlineStr">
      <is>
        <t>084A2 55190</t>
      </is>
    </nc>
  </rcc>
  <rcc rId="1536" sId="1" numFmtId="4">
    <oc r="F436">
      <v>0</v>
    </oc>
    <nc r="F436">
      <v>53.191490000000002</v>
    </nc>
  </rcc>
  <rcc rId="1537" sId="1">
    <nc r="F433">
      <f>SUM(F434)</f>
    </nc>
  </rcc>
  <rfmt sheetId="1" sqref="F435" start="0" length="2147483647">
    <dxf>
      <font>
        <i/>
      </font>
    </dxf>
  </rfmt>
  <rfmt sheetId="1" sqref="A435:XFD435" start="0" length="2147483647">
    <dxf>
      <font>
        <i/>
      </font>
    </dxf>
  </rfmt>
  <rcc rId="1538" sId="1">
    <oc r="F430">
      <f>SUM(F431:F432)</f>
    </oc>
    <nc r="F430">
      <f>SUM(F431:F432)</f>
    </nc>
  </rcc>
  <rcc rId="1539" sId="1">
    <oc r="F428">
      <f>F429+F435</f>
    </oc>
    <nc r="F428">
      <f>F429+F435+F433</f>
    </nc>
  </rcc>
  <rcc rId="1540" sId="1">
    <oc r="E436" t="inlineStr">
      <is>
        <t>622</t>
      </is>
    </oc>
    <nc r="E436" t="inlineStr">
      <is>
        <t>612</t>
      </is>
    </nc>
  </rcc>
  <rcc rId="1541" sId="1" odxf="1" dxf="1">
    <oc r="A436" t="inlineStr">
      <is>
        <t>Субсидии автономным учреждениям на иные цели</t>
      </is>
    </oc>
    <nc r="A43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2" sId="1" ref="A438:XFD439" action="insertRow"/>
  <rcc rId="1543" sId="1" odxf="1" dxf="1">
    <nc r="A43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1544" sId="1" odxf="1" dxf="1">
    <nc r="B438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545" sId="1" odxf="1" dxf="1">
    <nc r="C43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546" sId="1" odxf="1" dxf="1">
    <nc r="D438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38" start="0" length="0">
    <dxf>
      <font>
        <b val="0"/>
        <i/>
        <name val="Times New Roman"/>
        <family val="1"/>
      </font>
    </dxf>
  </rfmt>
  <rcc rId="1547" sId="1" odxf="1" dxf="1">
    <nc r="F438">
      <f>F439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1548" sId="1" odxf="1" dxf="1">
    <nc r="A439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49" sId="1" odxf="1" dxf="1">
    <nc r="B439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0" sId="1" odxf="1" dxf="1">
    <nc r="C43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1" sId="1" odxf="1" dxf="1">
    <nc r="D439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2" sId="1" odxf="1" dxf="1">
    <nc r="E439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39" start="0" length="0">
    <dxf>
      <font>
        <b val="0"/>
        <name val="Times New Roman"/>
        <family val="1"/>
      </font>
      <alignment wrapText="1"/>
    </dxf>
  </rfmt>
  <rfmt sheetId="1" sqref="G439" start="0" length="0">
    <dxf>
      <numFmt numFmtId="0" formatCode="General"/>
    </dxf>
  </rfmt>
  <rcc rId="1553" sId="1" numFmtId="4">
    <nc r="F439">
      <v>1810.6407099999999</v>
    </nc>
  </rcc>
  <rcc rId="1554" sId="1">
    <oc r="E441" t="inlineStr">
      <is>
        <t>244</t>
      </is>
    </oc>
    <nc r="E441" t="inlineStr">
      <is>
        <t>414</t>
      </is>
    </nc>
  </rcc>
  <rcc rId="1555" sId="1" numFmtId="4">
    <oc r="F441">
      <v>0</v>
    </oc>
    <nc r="F441">
      <v>2453.6</v>
    </nc>
  </rcc>
  <rcc rId="1556" sId="1" odxf="1" dxf="1">
    <oc r="A441" t="inlineStr">
      <is>
        <t>Бюджетные инвестиции в объекты капитального строительства государственной (муниципальной) собственности</t>
      </is>
    </oc>
    <nc r="A44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557" sId="1">
    <oc r="F437">
      <f>F442+F440</f>
    </oc>
    <nc r="F437">
      <f>F438+F440+F442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функцион.структура!$A$1:$F$554</formula>
    <oldFormula>функцион.структура!$A$1:$F$554</oldFormula>
  </rdn>
  <rdn rId="0" localSheetId="1" customView="1" name="Z_629918FE_B1DF_464A_BF50_03D18729BC02_.wvu.FilterData" hidden="1" oldHidden="1">
    <formula>функцион.структура!$A$17:$K$561</formula>
    <oldFormula>функцион.структура!$A$17:$K$561</oldFormula>
  </rdn>
  <rcv guid="{629918FE-B1DF-464A-BF50-03D18729BC02}" action="add"/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0" sId="1" numFmtId="4">
    <oc r="F452">
      <v>6328.91</v>
    </oc>
    <nc r="F452">
      <v>6635.15</v>
    </nc>
  </rcc>
  <rcc rId="1561" sId="1" numFmtId="4">
    <oc r="F453">
      <v>1911.33</v>
    </oc>
    <nc r="F453">
      <v>2003.81</v>
    </nc>
  </rcc>
  <rcc rId="1562" sId="1" numFmtId="4">
    <oc r="F455">
      <f>155.78-5.03678</f>
    </oc>
    <nc r="F455">
      <v>168.84322</v>
    </nc>
  </rcc>
  <rcc rId="1563" sId="1">
    <oc r="E456" t="inlineStr">
      <is>
        <t>851</t>
      </is>
    </oc>
    <nc r="E456" t="inlineStr">
      <is>
        <t>852</t>
      </is>
    </nc>
  </rcc>
  <rcc rId="1564" sId="1" numFmtId="4">
    <oc r="F456">
      <v>0</v>
    </oc>
    <nc r="F456">
      <v>4.9000000000000004</v>
    </nc>
  </rcc>
  <rcc rId="1565" sId="1">
    <oc r="A456" t="inlineStr">
      <is>
        <t>Уплата налога на имущество организаций и земельного налога</t>
      </is>
    </oc>
    <nc r="A456"/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6" sId="1" odxf="1" dxf="1">
    <nc r="A456" t="inlineStr">
      <is>
        <t xml:space="preserve">Уплата прочих налогов, сборов 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567" sId="1">
    <oc r="E462" t="inlineStr">
      <is>
        <t>244</t>
      </is>
    </oc>
    <nc r="E462" t="inlineStr">
      <is>
        <t>360</t>
      </is>
    </nc>
  </rcc>
  <rcc rId="1568" sId="1" numFmtId="4">
    <oc r="F474">
      <v>2402.23</v>
    </oc>
    <nc r="F474">
      <v>2093.13</v>
    </nc>
  </rcc>
  <rcc rId="1569" sId="1" numFmtId="4">
    <oc r="F475">
      <v>0</v>
    </oc>
    <nc r="F475">
      <v>309.10000000000002</v>
    </nc>
  </rcc>
  <rcc rId="1570" sId="1" numFmtId="4">
    <oc r="F481">
      <v>2272.8070699999998</v>
    </oc>
    <nc r="F481">
      <v>2359.4597899999999</v>
    </nc>
  </rcc>
  <rrc rId="1571" sId="1" ref="A503:XFD503" action="insertRow"/>
  <rcc rId="1572" sId="1" odxf="1" dxf="1">
    <nc r="A503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1573" sId="1" odxf="1" dxf="1">
    <nc r="B503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74" sId="1" odxf="1" dxf="1">
    <nc r="C503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75" sId="1" odxf="1" dxf="1">
    <nc r="D503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03" start="0" length="0">
    <dxf>
      <font>
        <i val="0"/>
        <name val="Times New Roman"/>
        <family val="1"/>
      </font>
    </dxf>
  </rfmt>
  <rfmt sheetId="1" sqref="F503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576" sId="1">
    <nc r="E503" t="inlineStr">
      <is>
        <t>112</t>
      </is>
    </nc>
  </rcc>
  <rcc rId="1577" sId="1" numFmtId="4">
    <nc r="F503">
      <v>5.76</v>
    </nc>
  </rcc>
  <rcc rId="1578" sId="1">
    <oc r="F502">
      <f>F504+F505</f>
    </oc>
    <nc r="F502">
      <f>SUM(F503:F505)</f>
    </nc>
  </rcc>
  <rcc rId="1579" sId="1" numFmtId="4">
    <oc r="F504">
      <v>500</v>
    </oc>
    <nc r="F504">
      <v>375.53699999999998</v>
    </nc>
  </rcc>
  <rcc rId="1580" sId="1" numFmtId="4">
    <oc r="F505">
      <v>0</v>
    </oc>
    <nc r="F505">
      <v>88.703999999999994</v>
    </nc>
  </rcc>
  <rcc rId="1581" sId="1">
    <oc r="G504" t="inlineStr">
      <is>
        <t>?</t>
      </is>
    </oc>
    <nc r="G504"/>
  </rcc>
  <rcc rId="1582" sId="1" numFmtId="4">
    <oc r="F508">
      <f>573.17+2919.13</f>
    </oc>
    <nc r="F508">
      <v>3702.4989999999998</v>
    </nc>
  </rcc>
  <rcc rId="1583" sId="1" numFmtId="4">
    <oc r="F509">
      <f>173.13+881.58</f>
    </oc>
    <nc r="F509">
      <v>1118.191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4" sId="1" odxf="1" dxf="1">
    <oc r="A503" t="inlineStr">
      <is>
        <t>Прочая закупка товаров, работ и услуг для обеспечения государственных (муниципальных) нужд</t>
      </is>
    </oc>
    <nc r="A503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85" sId="1" ref="A510:XFD512" action="insertRow"/>
  <rcc rId="1586" sId="1" odxf="1" dxf="1">
    <nc r="A510" t="inlineStr">
      <is>
        <t>Cодержание инструкторов по физической культуре и спорту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587" sId="1" odxf="1" dxf="1">
    <nc r="B51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88" sId="1" odxf="1" dxf="1">
    <nc r="C51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0" start="0" length="0">
    <dxf>
      <font>
        <i/>
        <name val="Times New Roman"/>
        <family val="1"/>
      </font>
    </dxf>
  </rfmt>
  <rfmt sheetId="1" sqref="E51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589" sId="1" odxf="1" dxf="1">
    <nc r="F510">
      <f>F511+F512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10" start="0" length="0">
    <dxf>
      <fill>
        <patternFill patternType="none">
          <bgColor indexed="65"/>
        </patternFill>
      </fill>
    </dxf>
  </rfmt>
  <rcc rId="1590" sId="1">
    <nc r="A511" t="inlineStr">
      <is>
        <t xml:space="preserve">Фонд оплаты труда  учреждений </t>
      </is>
    </nc>
  </rcc>
  <rcc rId="1591" sId="1">
    <nc r="B511" t="inlineStr">
      <is>
        <t>11</t>
      </is>
    </nc>
  </rcc>
  <rcc rId="1592" sId="1">
    <nc r="C511" t="inlineStr">
      <is>
        <t>02</t>
      </is>
    </nc>
  </rcc>
  <rcc rId="1593" sId="1" numFmtId="4">
    <nc r="F511">
      <v>3702.4989999999998</v>
    </nc>
  </rcc>
  <rcc rId="1594" sId="1">
    <nc r="A5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595" sId="1">
    <nc r="B512" t="inlineStr">
      <is>
        <t>11</t>
      </is>
    </nc>
  </rcc>
  <rcc rId="1596" sId="1">
    <nc r="C512" t="inlineStr">
      <is>
        <t>02</t>
      </is>
    </nc>
  </rcc>
  <rcc rId="1597" sId="1" numFmtId="4">
    <nc r="F512">
      <v>1118.191</v>
    </nc>
  </rcc>
  <rcc rId="1598" sId="1">
    <nc r="E511" t="inlineStr">
      <is>
        <t>465</t>
      </is>
    </nc>
  </rcc>
  <rcc rId="1599" sId="1">
    <nc r="E512" t="inlineStr">
      <is>
        <t>540</t>
      </is>
    </nc>
  </rcc>
  <rcc rId="1600" sId="1" odxf="1" dxf="1">
    <nc r="D510" t="inlineStr">
      <is>
        <t>094P5 51390</t>
      </is>
    </nc>
    <ndxf>
      <fill>
        <patternFill patternType="none">
          <bgColor indexed="65"/>
        </patternFill>
      </fill>
    </ndxf>
  </rcc>
  <rcc rId="1601" sId="1" odxf="1" dxf="1">
    <nc r="D511" t="inlineStr">
      <is>
        <t>094P5 51390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1602" sId="1" odxf="1" dxf="1">
    <nc r="D512" t="inlineStr">
      <is>
        <t>094P5 51390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511:D512" start="0" length="2147483647">
    <dxf>
      <font>
        <i val="0"/>
      </font>
    </dxf>
  </rfmt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>
    <oc r="A5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oc>
    <nc r="A512" t="inlineStr">
      <is>
        <t>Иные межбюджетные трансферты</t>
      </is>
    </nc>
  </rcc>
  <rcc rId="1604" sId="1">
    <oc r="A511" t="inlineStr">
      <is>
        <t xml:space="preserve">Фонд оплаты труда  учреждений </t>
      </is>
    </oc>
    <nc r="A511"/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83DB8D82-D2D2-45F8-871D-CC7482835EA0}" name="Пользователь" id="-1701985905" dateTime="2021-11-11T08:12:58"/>
  <userInfo guid="{152578C0-6C42-4060-9709-756D9670CD41}" name="Пользователь" id="-1701982236" dateTime="2022-03-30T13:57:51"/>
  <userInfo guid="{AF7D8A76-DD77-4963-ACBA-2254D7452DAB}" name="Пользователь" id="-1702030588" dateTime="2022-12-21T19:12:29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P634"/>
  <sheetViews>
    <sheetView tabSelected="1" view="pageBreakPreview" zoomScaleNormal="100" zoomScaleSheetLayoutView="100" workbookViewId="0">
      <selection activeCell="F3" sqref="F3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6" width="19.140625" style="1" customWidth="1"/>
    <col min="7" max="7" width="11" style="1" bestFit="1" customWidth="1"/>
    <col min="8" max="8" width="10.42578125" style="1" customWidth="1"/>
    <col min="9" max="16384" width="9.140625" style="1"/>
  </cols>
  <sheetData>
    <row r="1" spans="1:16" x14ac:dyDescent="0.2">
      <c r="F1" s="3" t="s">
        <v>608</v>
      </c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x14ac:dyDescent="0.2">
      <c r="F2" s="3" t="s">
        <v>526</v>
      </c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x14ac:dyDescent="0.2">
      <c r="F3" s="3" t="s">
        <v>609</v>
      </c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"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2.75" customHeight="1" x14ac:dyDescent="0.2">
      <c r="A5" s="43"/>
      <c r="B5" s="43"/>
      <c r="C5" s="2"/>
      <c r="D5" s="2"/>
      <c r="E5" s="31"/>
      <c r="F5" s="3" t="s">
        <v>436</v>
      </c>
    </row>
    <row r="6" spans="1:16" ht="12.75" customHeight="1" x14ac:dyDescent="0.2">
      <c r="A6" s="43"/>
      <c r="B6" s="43"/>
      <c r="C6" s="2"/>
      <c r="D6" s="2"/>
      <c r="E6" s="31"/>
      <c r="F6" s="3" t="s">
        <v>280</v>
      </c>
    </row>
    <row r="7" spans="1:16" ht="12.75" customHeight="1" x14ac:dyDescent="0.2">
      <c r="A7" s="43"/>
      <c r="B7" s="2"/>
      <c r="C7" s="2"/>
      <c r="D7" s="31"/>
      <c r="E7" s="31"/>
      <c r="F7" s="3" t="s">
        <v>281</v>
      </c>
    </row>
    <row r="8" spans="1:16" ht="12.75" customHeight="1" x14ac:dyDescent="0.2">
      <c r="A8" s="43"/>
      <c r="B8" s="2"/>
      <c r="C8" s="2"/>
      <c r="D8" s="31"/>
      <c r="E8" s="31"/>
      <c r="F8" s="3" t="s">
        <v>103</v>
      </c>
    </row>
    <row r="9" spans="1:16" ht="12.75" customHeight="1" x14ac:dyDescent="0.2">
      <c r="A9" s="43"/>
      <c r="B9" s="2"/>
      <c r="C9" s="2"/>
      <c r="D9" s="31"/>
      <c r="E9" s="31"/>
      <c r="F9" s="3" t="s">
        <v>481</v>
      </c>
    </row>
    <row r="10" spans="1:16" ht="12.75" customHeight="1" x14ac:dyDescent="0.2">
      <c r="A10" s="43"/>
      <c r="B10" s="2"/>
      <c r="C10" s="2"/>
      <c r="D10" s="31"/>
      <c r="E10" s="117" t="s">
        <v>480</v>
      </c>
      <c r="F10" s="117"/>
    </row>
    <row r="11" spans="1:16" ht="12.75" customHeight="1" x14ac:dyDescent="0.2">
      <c r="A11" s="43"/>
      <c r="B11" s="2"/>
      <c r="C11" s="2"/>
      <c r="D11" s="31"/>
      <c r="E11" s="31"/>
      <c r="F11" s="3" t="s">
        <v>525</v>
      </c>
    </row>
    <row r="12" spans="1:16" ht="12.75" customHeight="1" x14ac:dyDescent="0.2">
      <c r="A12" s="43"/>
      <c r="B12" s="2"/>
      <c r="C12" s="2"/>
      <c r="D12" s="31"/>
      <c r="E12" s="31"/>
    </row>
    <row r="13" spans="1:16" ht="12.75" customHeight="1" x14ac:dyDescent="0.2">
      <c r="A13" s="43"/>
      <c r="B13" s="2"/>
      <c r="C13" s="2"/>
      <c r="D13" s="31"/>
      <c r="E13" s="31"/>
    </row>
    <row r="14" spans="1:16" ht="39" customHeight="1" x14ac:dyDescent="0.2">
      <c r="A14" s="118" t="s">
        <v>456</v>
      </c>
      <c r="B14" s="118"/>
      <c r="C14" s="118"/>
      <c r="D14" s="118"/>
      <c r="E14" s="118"/>
      <c r="F14" s="118"/>
    </row>
    <row r="15" spans="1:16" ht="15.75" x14ac:dyDescent="0.25">
      <c r="A15" s="44"/>
      <c r="B15" s="44"/>
      <c r="C15" s="44"/>
      <c r="D15" s="44"/>
      <c r="E15" s="44"/>
      <c r="F15" s="45" t="s">
        <v>162</v>
      </c>
    </row>
    <row r="16" spans="1:16" ht="12.75" customHeight="1" x14ac:dyDescent="0.2">
      <c r="A16" s="122" t="s">
        <v>71</v>
      </c>
      <c r="B16" s="120" t="s">
        <v>85</v>
      </c>
      <c r="C16" s="121"/>
      <c r="D16" s="121"/>
      <c r="E16" s="121"/>
      <c r="F16" s="119" t="s">
        <v>301</v>
      </c>
    </row>
    <row r="17" spans="1:6" ht="25.5" x14ac:dyDescent="0.2">
      <c r="A17" s="122"/>
      <c r="B17" s="46" t="s">
        <v>81</v>
      </c>
      <c r="C17" s="46" t="s">
        <v>82</v>
      </c>
      <c r="D17" s="46" t="s">
        <v>83</v>
      </c>
      <c r="E17" s="46" t="s">
        <v>84</v>
      </c>
      <c r="F17" s="119"/>
    </row>
    <row r="18" spans="1:6" x14ac:dyDescent="0.2">
      <c r="A18" s="32" t="s">
        <v>126</v>
      </c>
      <c r="B18" s="9" t="s">
        <v>72</v>
      </c>
      <c r="C18" s="9"/>
      <c r="D18" s="9"/>
      <c r="E18" s="9"/>
      <c r="F18" s="49">
        <f>F19+F25+F41+F50+F54+F68+F72</f>
        <v>86457.844769999996</v>
      </c>
    </row>
    <row r="19" spans="1:6" ht="25.5" x14ac:dyDescent="0.2">
      <c r="A19" s="22" t="s">
        <v>110</v>
      </c>
      <c r="B19" s="8" t="s">
        <v>72</v>
      </c>
      <c r="C19" s="8" t="s">
        <v>73</v>
      </c>
      <c r="D19" s="8"/>
      <c r="E19" s="8"/>
      <c r="F19" s="50">
        <f>F20</f>
        <v>2271.9</v>
      </c>
    </row>
    <row r="20" spans="1:6" x14ac:dyDescent="0.2">
      <c r="A20" s="17" t="s">
        <v>163</v>
      </c>
      <c r="B20" s="10" t="s">
        <v>72</v>
      </c>
      <c r="C20" s="10" t="s">
        <v>73</v>
      </c>
      <c r="D20" s="10" t="s">
        <v>184</v>
      </c>
      <c r="E20" s="10"/>
      <c r="F20" s="51">
        <f>F21</f>
        <v>2271.9</v>
      </c>
    </row>
    <row r="21" spans="1:6" s="40" customFormat="1" ht="38.25" x14ac:dyDescent="0.2">
      <c r="A21" s="17" t="s">
        <v>102</v>
      </c>
      <c r="B21" s="10" t="s">
        <v>72</v>
      </c>
      <c r="C21" s="10" t="s">
        <v>73</v>
      </c>
      <c r="D21" s="10" t="s">
        <v>190</v>
      </c>
      <c r="E21" s="10"/>
      <c r="F21" s="51">
        <f>F22</f>
        <v>2271.9</v>
      </c>
    </row>
    <row r="22" spans="1:6" s="39" customFormat="1" ht="25.5" x14ac:dyDescent="0.2">
      <c r="A22" s="27" t="s">
        <v>156</v>
      </c>
      <c r="B22" s="4" t="s">
        <v>72</v>
      </c>
      <c r="C22" s="4" t="s">
        <v>73</v>
      </c>
      <c r="D22" s="4" t="s">
        <v>195</v>
      </c>
      <c r="E22" s="4"/>
      <c r="F22" s="5">
        <f>SUM(F23:F24)</f>
        <v>2271.9</v>
      </c>
    </row>
    <row r="23" spans="1:6" ht="25.5" x14ac:dyDescent="0.2">
      <c r="A23" s="13" t="s">
        <v>182</v>
      </c>
      <c r="B23" s="6" t="s">
        <v>72</v>
      </c>
      <c r="C23" s="6" t="s">
        <v>73</v>
      </c>
      <c r="D23" s="6" t="s">
        <v>195</v>
      </c>
      <c r="E23" s="6" t="s">
        <v>120</v>
      </c>
      <c r="F23" s="82">
        <v>1744.7</v>
      </c>
    </row>
    <row r="24" spans="1:6" ht="38.25" x14ac:dyDescent="0.2">
      <c r="A24" s="13" t="s">
        <v>183</v>
      </c>
      <c r="B24" s="6" t="s">
        <v>72</v>
      </c>
      <c r="C24" s="6" t="s">
        <v>73</v>
      </c>
      <c r="D24" s="6" t="s">
        <v>195</v>
      </c>
      <c r="E24" s="6" t="s">
        <v>176</v>
      </c>
      <c r="F24" s="82">
        <v>527.20000000000005</v>
      </c>
    </row>
    <row r="25" spans="1:6" ht="38.25" x14ac:dyDescent="0.2">
      <c r="A25" s="26" t="s">
        <v>143</v>
      </c>
      <c r="B25" s="8" t="s">
        <v>72</v>
      </c>
      <c r="C25" s="8" t="s">
        <v>86</v>
      </c>
      <c r="D25" s="8"/>
      <c r="E25" s="8"/>
      <c r="F25" s="50">
        <f>F26</f>
        <v>4167.3</v>
      </c>
    </row>
    <row r="26" spans="1:6" x14ac:dyDescent="0.2">
      <c r="A26" s="33" t="s">
        <v>163</v>
      </c>
      <c r="B26" s="10" t="s">
        <v>72</v>
      </c>
      <c r="C26" s="10" t="s">
        <v>86</v>
      </c>
      <c r="D26" s="10" t="s">
        <v>184</v>
      </c>
      <c r="E26" s="10"/>
      <c r="F26" s="51">
        <f>F30+F27</f>
        <v>4167.3</v>
      </c>
    </row>
    <row r="27" spans="1:6" s="39" customFormat="1" ht="38.25" x14ac:dyDescent="0.2">
      <c r="A27" s="29" t="s">
        <v>166</v>
      </c>
      <c r="B27" s="4" t="s">
        <v>72</v>
      </c>
      <c r="C27" s="4" t="s">
        <v>86</v>
      </c>
      <c r="D27" s="4" t="s">
        <v>193</v>
      </c>
      <c r="E27" s="4"/>
      <c r="F27" s="5">
        <f>F28+F29</f>
        <v>84</v>
      </c>
    </row>
    <row r="28" spans="1:6" ht="25.5" x14ac:dyDescent="0.2">
      <c r="A28" s="13" t="s">
        <v>182</v>
      </c>
      <c r="B28" s="6" t="s">
        <v>72</v>
      </c>
      <c r="C28" s="6" t="s">
        <v>86</v>
      </c>
      <c r="D28" s="6" t="s">
        <v>193</v>
      </c>
      <c r="E28" s="6" t="s">
        <v>120</v>
      </c>
      <c r="F28" s="82">
        <v>64.5</v>
      </c>
    </row>
    <row r="29" spans="1:6" ht="38.25" x14ac:dyDescent="0.2">
      <c r="A29" s="13" t="s">
        <v>183</v>
      </c>
      <c r="B29" s="6" t="s">
        <v>72</v>
      </c>
      <c r="C29" s="6" t="s">
        <v>86</v>
      </c>
      <c r="D29" s="6" t="s">
        <v>193</v>
      </c>
      <c r="E29" s="6" t="s">
        <v>176</v>
      </c>
      <c r="F29" s="82">
        <v>19.5</v>
      </c>
    </row>
    <row r="30" spans="1:6" s="40" customFormat="1" ht="38.25" x14ac:dyDescent="0.2">
      <c r="A30" s="17" t="s">
        <v>102</v>
      </c>
      <c r="B30" s="10" t="s">
        <v>72</v>
      </c>
      <c r="C30" s="10" t="s">
        <v>86</v>
      </c>
      <c r="D30" s="10" t="s">
        <v>190</v>
      </c>
      <c r="E30" s="10"/>
      <c r="F30" s="51">
        <f>F31+F37</f>
        <v>4083.3</v>
      </c>
    </row>
    <row r="31" spans="1:6" ht="25.5" x14ac:dyDescent="0.2">
      <c r="A31" s="27" t="s">
        <v>147</v>
      </c>
      <c r="B31" s="4" t="s">
        <v>72</v>
      </c>
      <c r="C31" s="4" t="s">
        <v>86</v>
      </c>
      <c r="D31" s="4" t="s">
        <v>191</v>
      </c>
      <c r="E31" s="4"/>
      <c r="F31" s="5">
        <f>SUM(F32:F36)</f>
        <v>1764.3000000000002</v>
      </c>
    </row>
    <row r="32" spans="1:6" ht="25.5" x14ac:dyDescent="0.2">
      <c r="A32" s="13" t="s">
        <v>182</v>
      </c>
      <c r="B32" s="6" t="s">
        <v>72</v>
      </c>
      <c r="C32" s="6" t="s">
        <v>86</v>
      </c>
      <c r="D32" s="6" t="s">
        <v>191</v>
      </c>
      <c r="E32" s="6" t="s">
        <v>120</v>
      </c>
      <c r="F32" s="82">
        <v>1060.9000000000001</v>
      </c>
    </row>
    <row r="33" spans="1:6" ht="25.5" x14ac:dyDescent="0.2">
      <c r="A33" s="105" t="s">
        <v>493</v>
      </c>
      <c r="B33" s="6" t="s">
        <v>72</v>
      </c>
      <c r="C33" s="6" t="s">
        <v>86</v>
      </c>
      <c r="D33" s="6" t="s">
        <v>191</v>
      </c>
      <c r="E33" s="6" t="s">
        <v>492</v>
      </c>
      <c r="F33" s="82">
        <v>150</v>
      </c>
    </row>
    <row r="34" spans="1:6" ht="38.25" x14ac:dyDescent="0.2">
      <c r="A34" s="13" t="s">
        <v>183</v>
      </c>
      <c r="B34" s="6" t="s">
        <v>72</v>
      </c>
      <c r="C34" s="6" t="s">
        <v>86</v>
      </c>
      <c r="D34" s="6" t="s">
        <v>191</v>
      </c>
      <c r="E34" s="6" t="s">
        <v>176</v>
      </c>
      <c r="F34" s="82">
        <v>320.39999999999998</v>
      </c>
    </row>
    <row r="35" spans="1:6" ht="25.5" x14ac:dyDescent="0.2">
      <c r="A35" s="13" t="s">
        <v>121</v>
      </c>
      <c r="B35" s="6" t="s">
        <v>72</v>
      </c>
      <c r="C35" s="6" t="s">
        <v>86</v>
      </c>
      <c r="D35" s="6" t="s">
        <v>191</v>
      </c>
      <c r="E35" s="6" t="s">
        <v>122</v>
      </c>
      <c r="F35" s="82">
        <v>33.799999999999997</v>
      </c>
    </row>
    <row r="36" spans="1:6" ht="25.5" x14ac:dyDescent="0.2">
      <c r="A36" s="13" t="s">
        <v>123</v>
      </c>
      <c r="B36" s="6" t="s">
        <v>72</v>
      </c>
      <c r="C36" s="6" t="s">
        <v>86</v>
      </c>
      <c r="D36" s="6" t="s">
        <v>191</v>
      </c>
      <c r="E36" s="6" t="s">
        <v>124</v>
      </c>
      <c r="F36" s="82">
        <v>199.2</v>
      </c>
    </row>
    <row r="37" spans="1:6" ht="25.5" x14ac:dyDescent="0.2">
      <c r="A37" s="27" t="s">
        <v>164</v>
      </c>
      <c r="B37" s="4" t="s">
        <v>72</v>
      </c>
      <c r="C37" s="4" t="s">
        <v>86</v>
      </c>
      <c r="D37" s="4" t="s">
        <v>192</v>
      </c>
      <c r="E37" s="4"/>
      <c r="F37" s="5">
        <f>SUM(F38:F40)</f>
        <v>2319</v>
      </c>
    </row>
    <row r="38" spans="1:6" ht="25.5" x14ac:dyDescent="0.2">
      <c r="A38" s="13" t="s">
        <v>182</v>
      </c>
      <c r="B38" s="6" t="s">
        <v>72</v>
      </c>
      <c r="C38" s="6" t="s">
        <v>86</v>
      </c>
      <c r="D38" s="6" t="s">
        <v>192</v>
      </c>
      <c r="E38" s="6" t="s">
        <v>120</v>
      </c>
      <c r="F38" s="82">
        <v>1627.5</v>
      </c>
    </row>
    <row r="39" spans="1:6" ht="51" x14ac:dyDescent="0.2">
      <c r="A39" s="13" t="s">
        <v>450</v>
      </c>
      <c r="B39" s="6" t="s">
        <v>72</v>
      </c>
      <c r="C39" s="6" t="s">
        <v>86</v>
      </c>
      <c r="D39" s="6" t="s">
        <v>192</v>
      </c>
      <c r="E39" s="6" t="s">
        <v>449</v>
      </c>
      <c r="F39" s="82">
        <v>200</v>
      </c>
    </row>
    <row r="40" spans="1:6" ht="38.25" x14ac:dyDescent="0.2">
      <c r="A40" s="13" t="s">
        <v>183</v>
      </c>
      <c r="B40" s="6" t="s">
        <v>72</v>
      </c>
      <c r="C40" s="6" t="s">
        <v>86</v>
      </c>
      <c r="D40" s="6" t="s">
        <v>192</v>
      </c>
      <c r="E40" s="6" t="s">
        <v>176</v>
      </c>
      <c r="F40" s="82">
        <v>491.5</v>
      </c>
    </row>
    <row r="41" spans="1:6" ht="38.25" x14ac:dyDescent="0.2">
      <c r="A41" s="22" t="s">
        <v>105</v>
      </c>
      <c r="B41" s="8" t="s">
        <v>72</v>
      </c>
      <c r="C41" s="8" t="s">
        <v>74</v>
      </c>
      <c r="D41" s="8"/>
      <c r="E41" s="8"/>
      <c r="F41" s="50">
        <f>F42</f>
        <v>12397.3</v>
      </c>
    </row>
    <row r="42" spans="1:6" x14ac:dyDescent="0.2">
      <c r="A42" s="33" t="s">
        <v>163</v>
      </c>
      <c r="B42" s="10" t="s">
        <v>72</v>
      </c>
      <c r="C42" s="10" t="s">
        <v>74</v>
      </c>
      <c r="D42" s="10" t="s">
        <v>184</v>
      </c>
      <c r="E42" s="10"/>
      <c r="F42" s="51">
        <f>F43</f>
        <v>12397.3</v>
      </c>
    </row>
    <row r="43" spans="1:6" s="40" customFormat="1" ht="38.25" x14ac:dyDescent="0.2">
      <c r="A43" s="17" t="s">
        <v>102</v>
      </c>
      <c r="B43" s="10" t="s">
        <v>87</v>
      </c>
      <c r="C43" s="10" t="s">
        <v>74</v>
      </c>
      <c r="D43" s="10" t="s">
        <v>190</v>
      </c>
      <c r="E43" s="10"/>
      <c r="F43" s="51">
        <f>F44</f>
        <v>12397.3</v>
      </c>
    </row>
    <row r="44" spans="1:6" ht="25.5" x14ac:dyDescent="0.2">
      <c r="A44" s="23" t="s">
        <v>147</v>
      </c>
      <c r="B44" s="4" t="s">
        <v>72</v>
      </c>
      <c r="C44" s="4" t="s">
        <v>74</v>
      </c>
      <c r="D44" s="4" t="s">
        <v>191</v>
      </c>
      <c r="E44" s="4"/>
      <c r="F44" s="5">
        <f>SUM(F45:F49)</f>
        <v>12397.3</v>
      </c>
    </row>
    <row r="45" spans="1:6" ht="25.5" x14ac:dyDescent="0.2">
      <c r="A45" s="13" t="s">
        <v>182</v>
      </c>
      <c r="B45" s="6" t="s">
        <v>72</v>
      </c>
      <c r="C45" s="6" t="s">
        <v>74</v>
      </c>
      <c r="D45" s="6" t="s">
        <v>191</v>
      </c>
      <c r="E45" s="6" t="s">
        <v>120</v>
      </c>
      <c r="F45" s="82">
        <v>9357.1</v>
      </c>
    </row>
    <row r="46" spans="1:6" ht="38.25" x14ac:dyDescent="0.2">
      <c r="A46" s="13" t="s">
        <v>183</v>
      </c>
      <c r="B46" s="6" t="s">
        <v>72</v>
      </c>
      <c r="C46" s="6" t="s">
        <v>74</v>
      </c>
      <c r="D46" s="6" t="s">
        <v>191</v>
      </c>
      <c r="E46" s="6" t="s">
        <v>176</v>
      </c>
      <c r="F46" s="82">
        <v>2817.2</v>
      </c>
    </row>
    <row r="47" spans="1:6" ht="25.5" x14ac:dyDescent="0.2">
      <c r="A47" s="13" t="s">
        <v>121</v>
      </c>
      <c r="B47" s="6" t="s">
        <v>72</v>
      </c>
      <c r="C47" s="6" t="s">
        <v>74</v>
      </c>
      <c r="D47" s="6" t="s">
        <v>191</v>
      </c>
      <c r="E47" s="6" t="s">
        <v>122</v>
      </c>
      <c r="F47" s="82">
        <v>8</v>
      </c>
    </row>
    <row r="48" spans="1:6" ht="25.5" x14ac:dyDescent="0.2">
      <c r="A48" s="13" t="s">
        <v>121</v>
      </c>
      <c r="B48" s="6" t="s">
        <v>72</v>
      </c>
      <c r="C48" s="6" t="s">
        <v>74</v>
      </c>
      <c r="D48" s="6" t="s">
        <v>191</v>
      </c>
      <c r="E48" s="6" t="s">
        <v>507</v>
      </c>
      <c r="F48" s="82">
        <v>90</v>
      </c>
    </row>
    <row r="49" spans="1:6" x14ac:dyDescent="0.2">
      <c r="A49" s="67" t="s">
        <v>346</v>
      </c>
      <c r="B49" s="6" t="s">
        <v>72</v>
      </c>
      <c r="C49" s="6" t="s">
        <v>74</v>
      </c>
      <c r="D49" s="6" t="s">
        <v>191</v>
      </c>
      <c r="E49" s="6" t="s">
        <v>345</v>
      </c>
      <c r="F49" s="82">
        <v>125</v>
      </c>
    </row>
    <row r="50" spans="1:6" x14ac:dyDescent="0.2">
      <c r="A50" s="22" t="s">
        <v>394</v>
      </c>
      <c r="B50" s="8" t="s">
        <v>72</v>
      </c>
      <c r="C50" s="8" t="s">
        <v>76</v>
      </c>
      <c r="D50" s="8"/>
      <c r="E50" s="8"/>
      <c r="F50" s="50">
        <f>F51</f>
        <v>22.1</v>
      </c>
    </row>
    <row r="51" spans="1:6" x14ac:dyDescent="0.2">
      <c r="A51" s="17" t="s">
        <v>163</v>
      </c>
      <c r="B51" s="10" t="s">
        <v>72</v>
      </c>
      <c r="C51" s="10" t="s">
        <v>76</v>
      </c>
      <c r="D51" s="10" t="s">
        <v>184</v>
      </c>
      <c r="E51" s="10"/>
      <c r="F51" s="51">
        <f>F52</f>
        <v>22.1</v>
      </c>
    </row>
    <row r="52" spans="1:6" ht="38.25" x14ac:dyDescent="0.2">
      <c r="A52" s="28" t="s">
        <v>395</v>
      </c>
      <c r="B52" s="4" t="s">
        <v>72</v>
      </c>
      <c r="C52" s="4" t="s">
        <v>76</v>
      </c>
      <c r="D52" s="4" t="s">
        <v>396</v>
      </c>
      <c r="E52" s="4"/>
      <c r="F52" s="5">
        <f>F53</f>
        <v>22.1</v>
      </c>
    </row>
    <row r="53" spans="1:6" ht="25.5" x14ac:dyDescent="0.2">
      <c r="A53" s="34" t="s">
        <v>158</v>
      </c>
      <c r="B53" s="6" t="s">
        <v>72</v>
      </c>
      <c r="C53" s="6" t="s">
        <v>76</v>
      </c>
      <c r="D53" s="6" t="s">
        <v>396</v>
      </c>
      <c r="E53" s="6" t="s">
        <v>124</v>
      </c>
      <c r="F53" s="82">
        <v>22.1</v>
      </c>
    </row>
    <row r="54" spans="1:6" ht="38.25" x14ac:dyDescent="0.2">
      <c r="A54" s="26" t="s">
        <v>109</v>
      </c>
      <c r="B54" s="8" t="s">
        <v>72</v>
      </c>
      <c r="C54" s="8" t="s">
        <v>79</v>
      </c>
      <c r="D54" s="8"/>
      <c r="E54" s="8"/>
      <c r="F54" s="50">
        <f>F55+F64</f>
        <v>10232.24632</v>
      </c>
    </row>
    <row r="55" spans="1:6" ht="25.5" x14ac:dyDescent="0.2">
      <c r="A55" s="38" t="s">
        <v>340</v>
      </c>
      <c r="B55" s="10" t="s">
        <v>72</v>
      </c>
      <c r="C55" s="10" t="s">
        <v>79</v>
      </c>
      <c r="D55" s="10" t="s">
        <v>178</v>
      </c>
      <c r="E55" s="10"/>
      <c r="F55" s="51">
        <f>F56</f>
        <v>7895.3463200000006</v>
      </c>
    </row>
    <row r="56" spans="1:6" ht="27" x14ac:dyDescent="0.25">
      <c r="A56" s="64" t="s">
        <v>1</v>
      </c>
      <c r="B56" s="7" t="s">
        <v>72</v>
      </c>
      <c r="C56" s="7" t="s">
        <v>79</v>
      </c>
      <c r="D56" s="7" t="s">
        <v>179</v>
      </c>
      <c r="E56" s="7"/>
      <c r="F56" s="42">
        <f>F57</f>
        <v>7895.3463200000006</v>
      </c>
    </row>
    <row r="57" spans="1:6" s="39" customFormat="1" ht="25.5" x14ac:dyDescent="0.2">
      <c r="A57" s="29" t="s">
        <v>181</v>
      </c>
      <c r="B57" s="4" t="s">
        <v>72</v>
      </c>
      <c r="C57" s="4" t="s">
        <v>79</v>
      </c>
      <c r="D57" s="4" t="s">
        <v>180</v>
      </c>
      <c r="E57" s="4"/>
      <c r="F57" s="5">
        <f>F58</f>
        <v>7895.3463200000006</v>
      </c>
    </row>
    <row r="58" spans="1:6" s="40" customFormat="1" ht="25.5" x14ac:dyDescent="0.2">
      <c r="A58" s="27" t="s">
        <v>147</v>
      </c>
      <c r="B58" s="4" t="s">
        <v>72</v>
      </c>
      <c r="C58" s="4" t="s">
        <v>79</v>
      </c>
      <c r="D58" s="4" t="s">
        <v>177</v>
      </c>
      <c r="E58" s="7"/>
      <c r="F58" s="5">
        <f>SUM(F59:F63)</f>
        <v>7895.3463200000006</v>
      </c>
    </row>
    <row r="59" spans="1:6" s="39" customFormat="1" ht="25.5" x14ac:dyDescent="0.2">
      <c r="A59" s="13" t="s">
        <v>182</v>
      </c>
      <c r="B59" s="6" t="s">
        <v>72</v>
      </c>
      <c r="C59" s="6" t="s">
        <v>79</v>
      </c>
      <c r="D59" s="6" t="s">
        <v>177</v>
      </c>
      <c r="E59" s="6" t="s">
        <v>120</v>
      </c>
      <c r="F59" s="19">
        <v>4488.44632</v>
      </c>
    </row>
    <row r="60" spans="1:6" s="39" customFormat="1" ht="25.5" x14ac:dyDescent="0.2">
      <c r="A60" s="13" t="s">
        <v>493</v>
      </c>
      <c r="B60" s="6" t="s">
        <v>72</v>
      </c>
      <c r="C60" s="6" t="s">
        <v>79</v>
      </c>
      <c r="D60" s="6" t="s">
        <v>177</v>
      </c>
      <c r="E60" s="6" t="s">
        <v>492</v>
      </c>
      <c r="F60" s="19">
        <v>100</v>
      </c>
    </row>
    <row r="61" spans="1:6" s="39" customFormat="1" ht="38.25" x14ac:dyDescent="0.2">
      <c r="A61" s="13" t="s">
        <v>183</v>
      </c>
      <c r="B61" s="6" t="s">
        <v>72</v>
      </c>
      <c r="C61" s="6" t="s">
        <v>79</v>
      </c>
      <c r="D61" s="6" t="s">
        <v>177</v>
      </c>
      <c r="E61" s="6" t="s">
        <v>176</v>
      </c>
      <c r="F61" s="19">
        <v>1354.9</v>
      </c>
    </row>
    <row r="62" spans="1:6" s="39" customFormat="1" ht="25.5" x14ac:dyDescent="0.2">
      <c r="A62" s="13" t="s">
        <v>121</v>
      </c>
      <c r="B62" s="6" t="s">
        <v>72</v>
      </c>
      <c r="C62" s="6" t="s">
        <v>79</v>
      </c>
      <c r="D62" s="6" t="s">
        <v>177</v>
      </c>
      <c r="E62" s="6" t="s">
        <v>122</v>
      </c>
      <c r="F62" s="19">
        <v>1480.2</v>
      </c>
    </row>
    <row r="63" spans="1:6" s="39" customFormat="1" ht="25.5" x14ac:dyDescent="0.2">
      <c r="A63" s="13" t="s">
        <v>123</v>
      </c>
      <c r="B63" s="6" t="s">
        <v>72</v>
      </c>
      <c r="C63" s="6" t="s">
        <v>79</v>
      </c>
      <c r="D63" s="6" t="s">
        <v>177</v>
      </c>
      <c r="E63" s="6" t="s">
        <v>124</v>
      </c>
      <c r="F63" s="19">
        <v>471.8</v>
      </c>
    </row>
    <row r="64" spans="1:6" s="39" customFormat="1" x14ac:dyDescent="0.2">
      <c r="A64" s="37" t="s">
        <v>163</v>
      </c>
      <c r="B64" s="10" t="s">
        <v>72</v>
      </c>
      <c r="C64" s="10" t="s">
        <v>79</v>
      </c>
      <c r="D64" s="10" t="s">
        <v>184</v>
      </c>
      <c r="E64" s="10"/>
      <c r="F64" s="51">
        <f>F65</f>
        <v>2336.9</v>
      </c>
    </row>
    <row r="65" spans="1:6" ht="45.75" customHeight="1" x14ac:dyDescent="0.2">
      <c r="A65" s="16" t="s">
        <v>160</v>
      </c>
      <c r="B65" s="4" t="s">
        <v>72</v>
      </c>
      <c r="C65" s="4" t="s">
        <v>79</v>
      </c>
      <c r="D65" s="4" t="s">
        <v>185</v>
      </c>
      <c r="E65" s="4"/>
      <c r="F65" s="5">
        <f>SUM(F66:F67)</f>
        <v>2336.9</v>
      </c>
    </row>
    <row r="66" spans="1:6" s="39" customFormat="1" x14ac:dyDescent="0.2">
      <c r="A66" s="14" t="s">
        <v>282</v>
      </c>
      <c r="B66" s="6" t="s">
        <v>72</v>
      </c>
      <c r="C66" s="6" t="s">
        <v>79</v>
      </c>
      <c r="D66" s="6" t="s">
        <v>185</v>
      </c>
      <c r="E66" s="6" t="s">
        <v>151</v>
      </c>
      <c r="F66" s="82">
        <v>1795</v>
      </c>
    </row>
    <row r="67" spans="1:6" s="39" customFormat="1" ht="38.25" x14ac:dyDescent="0.2">
      <c r="A67" s="14" t="s">
        <v>284</v>
      </c>
      <c r="B67" s="6" t="s">
        <v>72</v>
      </c>
      <c r="C67" s="6" t="s">
        <v>79</v>
      </c>
      <c r="D67" s="6" t="s">
        <v>185</v>
      </c>
      <c r="E67" s="6" t="s">
        <v>203</v>
      </c>
      <c r="F67" s="82">
        <v>541.9</v>
      </c>
    </row>
    <row r="68" spans="1:6" x14ac:dyDescent="0.2">
      <c r="A68" s="22" t="s">
        <v>64</v>
      </c>
      <c r="B68" s="8" t="s">
        <v>72</v>
      </c>
      <c r="C68" s="8" t="s">
        <v>91</v>
      </c>
      <c r="D68" s="8"/>
      <c r="E68" s="8"/>
      <c r="F68" s="50">
        <f>F70</f>
        <v>273</v>
      </c>
    </row>
    <row r="69" spans="1:6" x14ac:dyDescent="0.2">
      <c r="A69" s="17" t="s">
        <v>163</v>
      </c>
      <c r="B69" s="10" t="s">
        <v>72</v>
      </c>
      <c r="C69" s="10" t="s">
        <v>91</v>
      </c>
      <c r="D69" s="10" t="s">
        <v>184</v>
      </c>
      <c r="E69" s="10"/>
      <c r="F69" s="51">
        <f>F70</f>
        <v>273</v>
      </c>
    </row>
    <row r="70" spans="1:6" s="39" customFormat="1" x14ac:dyDescent="0.2">
      <c r="A70" s="23" t="s">
        <v>97</v>
      </c>
      <c r="B70" s="4" t="s">
        <v>72</v>
      </c>
      <c r="C70" s="4" t="s">
        <v>91</v>
      </c>
      <c r="D70" s="4" t="s">
        <v>196</v>
      </c>
      <c r="E70" s="4"/>
      <c r="F70" s="5">
        <f>F71</f>
        <v>273</v>
      </c>
    </row>
    <row r="71" spans="1:6" x14ac:dyDescent="0.2">
      <c r="A71" s="34" t="s">
        <v>125</v>
      </c>
      <c r="B71" s="6" t="s">
        <v>72</v>
      </c>
      <c r="C71" s="6" t="s">
        <v>91</v>
      </c>
      <c r="D71" s="6" t="s">
        <v>196</v>
      </c>
      <c r="E71" s="6" t="s">
        <v>127</v>
      </c>
      <c r="F71" s="19">
        <v>273</v>
      </c>
    </row>
    <row r="72" spans="1:6" x14ac:dyDescent="0.2">
      <c r="A72" s="22" t="s">
        <v>119</v>
      </c>
      <c r="B72" s="8" t="s">
        <v>72</v>
      </c>
      <c r="C72" s="8" t="s">
        <v>106</v>
      </c>
      <c r="D72" s="8"/>
      <c r="E72" s="8"/>
      <c r="F72" s="50">
        <f>F73+F87+F100+F105+F109+F117+F83+F113</f>
        <v>57093.998449999999</v>
      </c>
    </row>
    <row r="73" spans="1:6" ht="25.5" x14ac:dyDescent="0.2">
      <c r="A73" s="62" t="s">
        <v>324</v>
      </c>
      <c r="B73" s="10" t="s">
        <v>72</v>
      </c>
      <c r="C73" s="10" t="s">
        <v>106</v>
      </c>
      <c r="D73" s="10" t="s">
        <v>312</v>
      </c>
      <c r="E73" s="10"/>
      <c r="F73" s="51">
        <f>F74+F77+F80</f>
        <v>566</v>
      </c>
    </row>
    <row r="74" spans="1:6" s="40" customFormat="1" ht="38.25" x14ac:dyDescent="0.2">
      <c r="A74" s="21" t="s">
        <v>380</v>
      </c>
      <c r="B74" s="4" t="s">
        <v>72</v>
      </c>
      <c r="C74" s="4" t="s">
        <v>106</v>
      </c>
      <c r="D74" s="4" t="s">
        <v>330</v>
      </c>
      <c r="E74" s="4"/>
      <c r="F74" s="5">
        <f>F75</f>
        <v>100</v>
      </c>
    </row>
    <row r="75" spans="1:6" s="39" customFormat="1" ht="25.5" x14ac:dyDescent="0.2">
      <c r="A75" s="15" t="s">
        <v>172</v>
      </c>
      <c r="B75" s="4" t="s">
        <v>72</v>
      </c>
      <c r="C75" s="4" t="s">
        <v>106</v>
      </c>
      <c r="D75" s="4" t="s">
        <v>325</v>
      </c>
      <c r="E75" s="7"/>
      <c r="F75" s="5">
        <f>F76</f>
        <v>100</v>
      </c>
    </row>
    <row r="76" spans="1:6" ht="25.5" x14ac:dyDescent="0.2">
      <c r="A76" s="14" t="s">
        <v>158</v>
      </c>
      <c r="B76" s="6" t="s">
        <v>72</v>
      </c>
      <c r="C76" s="6" t="s">
        <v>106</v>
      </c>
      <c r="D76" s="6" t="s">
        <v>325</v>
      </c>
      <c r="E76" s="6" t="s">
        <v>124</v>
      </c>
      <c r="F76" s="19">
        <v>100</v>
      </c>
    </row>
    <row r="77" spans="1:6" ht="25.5" x14ac:dyDescent="0.2">
      <c r="A77" s="21" t="s">
        <v>381</v>
      </c>
      <c r="B77" s="4" t="s">
        <v>72</v>
      </c>
      <c r="C77" s="4" t="s">
        <v>106</v>
      </c>
      <c r="D77" s="4" t="s">
        <v>382</v>
      </c>
      <c r="E77" s="4"/>
      <c r="F77" s="5">
        <f>F78</f>
        <v>416</v>
      </c>
    </row>
    <row r="78" spans="1:6" s="39" customFormat="1" ht="38.25" x14ac:dyDescent="0.2">
      <c r="A78" s="23" t="s">
        <v>313</v>
      </c>
      <c r="B78" s="4" t="s">
        <v>72</v>
      </c>
      <c r="C78" s="4" t="s">
        <v>106</v>
      </c>
      <c r="D78" s="4" t="s">
        <v>36</v>
      </c>
      <c r="E78" s="4"/>
      <c r="F78" s="92">
        <f>F79</f>
        <v>416</v>
      </c>
    </row>
    <row r="79" spans="1:6" ht="25.5" x14ac:dyDescent="0.2">
      <c r="A79" s="14" t="s">
        <v>158</v>
      </c>
      <c r="B79" s="6" t="s">
        <v>72</v>
      </c>
      <c r="C79" s="6" t="s">
        <v>106</v>
      </c>
      <c r="D79" s="6" t="s">
        <v>36</v>
      </c>
      <c r="E79" s="6" t="s">
        <v>124</v>
      </c>
      <c r="F79" s="82">
        <f>208+208</f>
        <v>416</v>
      </c>
    </row>
    <row r="80" spans="1:6" s="40" customFormat="1" ht="38.25" x14ac:dyDescent="0.2">
      <c r="A80" s="65" t="s">
        <v>17</v>
      </c>
      <c r="B80" s="4" t="s">
        <v>72</v>
      </c>
      <c r="C80" s="4" t="s">
        <v>106</v>
      </c>
      <c r="D80" s="4" t="s">
        <v>18</v>
      </c>
      <c r="E80" s="4"/>
      <c r="F80" s="5">
        <f>F82</f>
        <v>50</v>
      </c>
    </row>
    <row r="81" spans="1:6" s="40" customFormat="1" ht="25.5" x14ac:dyDescent="0.2">
      <c r="A81" s="15" t="s">
        <v>172</v>
      </c>
      <c r="B81" s="4" t="s">
        <v>72</v>
      </c>
      <c r="C81" s="4" t="s">
        <v>106</v>
      </c>
      <c r="D81" s="4" t="s">
        <v>19</v>
      </c>
      <c r="E81" s="7"/>
      <c r="F81" s="5">
        <f>F82</f>
        <v>50</v>
      </c>
    </row>
    <row r="82" spans="1:6" s="40" customFormat="1" ht="25.5" x14ac:dyDescent="0.2">
      <c r="A82" s="14" t="s">
        <v>158</v>
      </c>
      <c r="B82" s="6" t="s">
        <v>72</v>
      </c>
      <c r="C82" s="6" t="s">
        <v>106</v>
      </c>
      <c r="D82" s="6" t="s">
        <v>19</v>
      </c>
      <c r="E82" s="6" t="s">
        <v>124</v>
      </c>
      <c r="F82" s="19">
        <v>50</v>
      </c>
    </row>
    <row r="83" spans="1:6" s="40" customFormat="1" ht="38.25" x14ac:dyDescent="0.2">
      <c r="A83" s="62" t="s">
        <v>469</v>
      </c>
      <c r="B83" s="10" t="s">
        <v>72</v>
      </c>
      <c r="C83" s="10" t="s">
        <v>106</v>
      </c>
      <c r="D83" s="10" t="s">
        <v>471</v>
      </c>
      <c r="E83" s="10"/>
      <c r="F83" s="51">
        <f>F84</f>
        <v>100</v>
      </c>
    </row>
    <row r="84" spans="1:6" s="40" customFormat="1" ht="38.25" x14ac:dyDescent="0.2">
      <c r="A84" s="23" t="s">
        <v>470</v>
      </c>
      <c r="B84" s="4" t="s">
        <v>72</v>
      </c>
      <c r="C84" s="4" t="s">
        <v>106</v>
      </c>
      <c r="D84" s="4" t="s">
        <v>472</v>
      </c>
      <c r="E84" s="4"/>
      <c r="F84" s="5">
        <f>F85</f>
        <v>100</v>
      </c>
    </row>
    <row r="85" spans="1:6" s="40" customFormat="1" ht="25.5" x14ac:dyDescent="0.2">
      <c r="A85" s="15" t="s">
        <v>172</v>
      </c>
      <c r="B85" s="4" t="s">
        <v>72</v>
      </c>
      <c r="C85" s="4" t="s">
        <v>106</v>
      </c>
      <c r="D85" s="4" t="s">
        <v>473</v>
      </c>
      <c r="E85" s="4"/>
      <c r="F85" s="5">
        <f>F86</f>
        <v>100</v>
      </c>
    </row>
    <row r="86" spans="1:6" s="40" customFormat="1" ht="25.5" x14ac:dyDescent="0.2">
      <c r="A86" s="14" t="s">
        <v>158</v>
      </c>
      <c r="B86" s="6" t="s">
        <v>72</v>
      </c>
      <c r="C86" s="6" t="s">
        <v>106</v>
      </c>
      <c r="D86" s="6" t="s">
        <v>473</v>
      </c>
      <c r="E86" s="6" t="s">
        <v>124</v>
      </c>
      <c r="F86" s="19">
        <v>100</v>
      </c>
    </row>
    <row r="87" spans="1:6" s="39" customFormat="1" ht="51" x14ac:dyDescent="0.2">
      <c r="A87" s="38" t="s">
        <v>341</v>
      </c>
      <c r="B87" s="10" t="s">
        <v>72</v>
      </c>
      <c r="C87" s="10" t="s">
        <v>106</v>
      </c>
      <c r="D87" s="10" t="s">
        <v>204</v>
      </c>
      <c r="E87" s="10"/>
      <c r="F87" s="51">
        <f>F88</f>
        <v>5868.4</v>
      </c>
    </row>
    <row r="88" spans="1:6" s="39" customFormat="1" ht="40.5" x14ac:dyDescent="0.25">
      <c r="A88" s="64" t="s">
        <v>2</v>
      </c>
      <c r="B88" s="7" t="s">
        <v>72</v>
      </c>
      <c r="C88" s="7" t="s">
        <v>106</v>
      </c>
      <c r="D88" s="7" t="s">
        <v>205</v>
      </c>
      <c r="E88" s="7"/>
      <c r="F88" s="42">
        <f>F89+F97</f>
        <v>5868.4</v>
      </c>
    </row>
    <row r="89" spans="1:6" s="39" customFormat="1" ht="38.25" x14ac:dyDescent="0.2">
      <c r="A89" s="29" t="s">
        <v>351</v>
      </c>
      <c r="B89" s="4" t="s">
        <v>72</v>
      </c>
      <c r="C89" s="4" t="s">
        <v>106</v>
      </c>
      <c r="D89" s="4" t="s">
        <v>43</v>
      </c>
      <c r="E89" s="4"/>
      <c r="F89" s="5">
        <f>F90+F94</f>
        <v>5238.3999999999996</v>
      </c>
    </row>
    <row r="90" spans="1:6" ht="25.5" x14ac:dyDescent="0.2">
      <c r="A90" s="27" t="s">
        <v>147</v>
      </c>
      <c r="B90" s="4" t="s">
        <v>72</v>
      </c>
      <c r="C90" s="4" t="s">
        <v>106</v>
      </c>
      <c r="D90" s="4" t="s">
        <v>278</v>
      </c>
      <c r="E90" s="7"/>
      <c r="F90" s="5">
        <f>SUM(F91:F93)</f>
        <v>5013.3999999999996</v>
      </c>
    </row>
    <row r="91" spans="1:6" ht="25.5" x14ac:dyDescent="0.2">
      <c r="A91" s="13" t="s">
        <v>182</v>
      </c>
      <c r="B91" s="6" t="s">
        <v>72</v>
      </c>
      <c r="C91" s="6" t="s">
        <v>106</v>
      </c>
      <c r="D91" s="6" t="s">
        <v>278</v>
      </c>
      <c r="E91" s="6" t="s">
        <v>120</v>
      </c>
      <c r="F91" s="19">
        <v>3843.2</v>
      </c>
    </row>
    <row r="92" spans="1:6" ht="25.5" x14ac:dyDescent="0.2">
      <c r="A92" s="13" t="s">
        <v>493</v>
      </c>
      <c r="B92" s="6" t="s">
        <v>72</v>
      </c>
      <c r="C92" s="6" t="s">
        <v>106</v>
      </c>
      <c r="D92" s="6" t="s">
        <v>278</v>
      </c>
      <c r="E92" s="6" t="s">
        <v>492</v>
      </c>
      <c r="F92" s="19">
        <v>10</v>
      </c>
    </row>
    <row r="93" spans="1:6" s="39" customFormat="1" ht="38.25" x14ac:dyDescent="0.2">
      <c r="A93" s="13" t="s">
        <v>183</v>
      </c>
      <c r="B93" s="6" t="s">
        <v>72</v>
      </c>
      <c r="C93" s="6" t="s">
        <v>106</v>
      </c>
      <c r="D93" s="6" t="s">
        <v>278</v>
      </c>
      <c r="E93" s="6" t="s">
        <v>176</v>
      </c>
      <c r="F93" s="19">
        <v>1160.2</v>
      </c>
    </row>
    <row r="94" spans="1:6" x14ac:dyDescent="0.2">
      <c r="A94" s="38" t="s">
        <v>342</v>
      </c>
      <c r="B94" s="10" t="s">
        <v>72</v>
      </c>
      <c r="C94" s="10" t="s">
        <v>106</v>
      </c>
      <c r="D94" s="10" t="s">
        <v>42</v>
      </c>
      <c r="E94" s="10"/>
      <c r="F94" s="51">
        <f>SUM(F95:F96)</f>
        <v>225</v>
      </c>
    </row>
    <row r="95" spans="1:6" ht="25.5" x14ac:dyDescent="0.2">
      <c r="A95" s="13" t="s">
        <v>121</v>
      </c>
      <c r="B95" s="6" t="s">
        <v>72</v>
      </c>
      <c r="C95" s="6" t="s">
        <v>106</v>
      </c>
      <c r="D95" s="6" t="s">
        <v>444</v>
      </c>
      <c r="E95" s="6" t="s">
        <v>122</v>
      </c>
      <c r="F95" s="19">
        <v>193</v>
      </c>
    </row>
    <row r="96" spans="1:6" ht="25.5" x14ac:dyDescent="0.2">
      <c r="A96" s="13" t="s">
        <v>123</v>
      </c>
      <c r="B96" s="6" t="s">
        <v>72</v>
      </c>
      <c r="C96" s="6" t="s">
        <v>106</v>
      </c>
      <c r="D96" s="6" t="s">
        <v>444</v>
      </c>
      <c r="E96" s="6" t="s">
        <v>124</v>
      </c>
      <c r="F96" s="19">
        <v>32</v>
      </c>
    </row>
    <row r="97" spans="1:6" ht="38.25" x14ac:dyDescent="0.2">
      <c r="A97" s="29" t="s">
        <v>352</v>
      </c>
      <c r="B97" s="4" t="s">
        <v>72</v>
      </c>
      <c r="C97" s="4" t="s">
        <v>106</v>
      </c>
      <c r="D97" s="4" t="s">
        <v>38</v>
      </c>
      <c r="E97" s="4"/>
      <c r="F97" s="5">
        <f>F98</f>
        <v>630</v>
      </c>
    </row>
    <row r="98" spans="1:6" ht="38.25" x14ac:dyDescent="0.2">
      <c r="A98" s="15" t="s">
        <v>215</v>
      </c>
      <c r="B98" s="4" t="s">
        <v>72</v>
      </c>
      <c r="C98" s="4" t="s">
        <v>106</v>
      </c>
      <c r="D98" s="4" t="s">
        <v>279</v>
      </c>
      <c r="E98" s="4"/>
      <c r="F98" s="5">
        <f>F99</f>
        <v>630</v>
      </c>
    </row>
    <row r="99" spans="1:6" ht="25.5" x14ac:dyDescent="0.2">
      <c r="A99" s="13" t="s">
        <v>123</v>
      </c>
      <c r="B99" s="6" t="s">
        <v>72</v>
      </c>
      <c r="C99" s="6" t="s">
        <v>106</v>
      </c>
      <c r="D99" s="6" t="s">
        <v>279</v>
      </c>
      <c r="E99" s="6" t="s">
        <v>124</v>
      </c>
      <c r="F99" s="19">
        <f>280+350</f>
        <v>630</v>
      </c>
    </row>
    <row r="100" spans="1:6" ht="38.25" x14ac:dyDescent="0.2">
      <c r="A100" s="62" t="s">
        <v>326</v>
      </c>
      <c r="B100" s="10" t="s">
        <v>72</v>
      </c>
      <c r="C100" s="10" t="s">
        <v>106</v>
      </c>
      <c r="D100" s="10" t="s">
        <v>206</v>
      </c>
      <c r="E100" s="10"/>
      <c r="F100" s="51">
        <f>F101</f>
        <v>135</v>
      </c>
    </row>
    <row r="101" spans="1:6" ht="38.25" x14ac:dyDescent="0.2">
      <c r="A101" s="23" t="s">
        <v>37</v>
      </c>
      <c r="B101" s="4" t="s">
        <v>72</v>
      </c>
      <c r="C101" s="4" t="s">
        <v>106</v>
      </c>
      <c r="D101" s="4" t="s">
        <v>327</v>
      </c>
      <c r="E101" s="4"/>
      <c r="F101" s="5">
        <f>F102</f>
        <v>135</v>
      </c>
    </row>
    <row r="102" spans="1:6" s="39" customFormat="1" ht="25.5" x14ac:dyDescent="0.2">
      <c r="A102" s="15" t="s">
        <v>172</v>
      </c>
      <c r="B102" s="4" t="s">
        <v>72</v>
      </c>
      <c r="C102" s="4" t="s">
        <v>106</v>
      </c>
      <c r="D102" s="4" t="s">
        <v>328</v>
      </c>
      <c r="E102" s="7"/>
      <c r="F102" s="5">
        <f>SUM(F103:F104)</f>
        <v>135</v>
      </c>
    </row>
    <row r="103" spans="1:6" ht="25.5" x14ac:dyDescent="0.2">
      <c r="A103" s="18" t="s">
        <v>172</v>
      </c>
      <c r="B103" s="6" t="s">
        <v>72</v>
      </c>
      <c r="C103" s="6" t="s">
        <v>106</v>
      </c>
      <c r="D103" s="6" t="s">
        <v>328</v>
      </c>
      <c r="E103" s="6" t="s">
        <v>124</v>
      </c>
      <c r="F103" s="19">
        <v>125</v>
      </c>
    </row>
    <row r="104" spans="1:6" x14ac:dyDescent="0.2">
      <c r="A104" s="67" t="s">
        <v>346</v>
      </c>
      <c r="B104" s="6" t="s">
        <v>72</v>
      </c>
      <c r="C104" s="6" t="s">
        <v>106</v>
      </c>
      <c r="D104" s="6" t="s">
        <v>328</v>
      </c>
      <c r="E104" s="6" t="s">
        <v>345</v>
      </c>
      <c r="F104" s="19">
        <v>10</v>
      </c>
    </row>
    <row r="105" spans="1:6" ht="27.75" customHeight="1" x14ac:dyDescent="0.2">
      <c r="A105" s="62" t="s">
        <v>329</v>
      </c>
      <c r="B105" s="10" t="s">
        <v>72</v>
      </c>
      <c r="C105" s="10" t="s">
        <v>106</v>
      </c>
      <c r="D105" s="10" t="s">
        <v>31</v>
      </c>
      <c r="E105" s="10"/>
      <c r="F105" s="51">
        <f>F106</f>
        <v>180</v>
      </c>
    </row>
    <row r="106" spans="1:6" ht="25.5" x14ac:dyDescent="0.2">
      <c r="A106" s="23" t="s">
        <v>33</v>
      </c>
      <c r="B106" s="4" t="s">
        <v>72</v>
      </c>
      <c r="C106" s="4" t="s">
        <v>106</v>
      </c>
      <c r="D106" s="4" t="s">
        <v>32</v>
      </c>
      <c r="E106" s="4"/>
      <c r="F106" s="5">
        <f>F107</f>
        <v>180</v>
      </c>
    </row>
    <row r="107" spans="1:6" s="39" customFormat="1" ht="25.5" x14ac:dyDescent="0.2">
      <c r="A107" s="15" t="s">
        <v>172</v>
      </c>
      <c r="B107" s="4" t="s">
        <v>72</v>
      </c>
      <c r="C107" s="4" t="s">
        <v>106</v>
      </c>
      <c r="D107" s="4" t="s">
        <v>46</v>
      </c>
      <c r="E107" s="4"/>
      <c r="F107" s="5">
        <f>F108</f>
        <v>180</v>
      </c>
    </row>
    <row r="108" spans="1:6" x14ac:dyDescent="0.2">
      <c r="A108" s="24" t="s">
        <v>175</v>
      </c>
      <c r="B108" s="6" t="s">
        <v>72</v>
      </c>
      <c r="C108" s="6" t="s">
        <v>106</v>
      </c>
      <c r="D108" s="6" t="s">
        <v>46</v>
      </c>
      <c r="E108" s="6" t="s">
        <v>128</v>
      </c>
      <c r="F108" s="19">
        <v>180</v>
      </c>
    </row>
    <row r="109" spans="1:6" ht="38.25" x14ac:dyDescent="0.2">
      <c r="A109" s="62" t="s">
        <v>0</v>
      </c>
      <c r="B109" s="10" t="s">
        <v>72</v>
      </c>
      <c r="C109" s="10" t="s">
        <v>106</v>
      </c>
      <c r="D109" s="10" t="s">
        <v>389</v>
      </c>
      <c r="E109" s="10"/>
      <c r="F109" s="51">
        <f>F110</f>
        <v>250</v>
      </c>
    </row>
    <row r="110" spans="1:6" ht="25.5" x14ac:dyDescent="0.2">
      <c r="A110" s="73" t="s">
        <v>410</v>
      </c>
      <c r="B110" s="4" t="s">
        <v>72</v>
      </c>
      <c r="C110" s="4" t="s">
        <v>106</v>
      </c>
      <c r="D110" s="4" t="s">
        <v>390</v>
      </c>
      <c r="E110" s="4"/>
      <c r="F110" s="5">
        <f>F111</f>
        <v>250</v>
      </c>
    </row>
    <row r="111" spans="1:6" s="39" customFormat="1" ht="25.5" x14ac:dyDescent="0.2">
      <c r="A111" s="15" t="s">
        <v>172</v>
      </c>
      <c r="B111" s="4" t="s">
        <v>72</v>
      </c>
      <c r="C111" s="4" t="s">
        <v>106</v>
      </c>
      <c r="D111" s="4" t="s">
        <v>391</v>
      </c>
      <c r="E111" s="4"/>
      <c r="F111" s="5">
        <f>F112</f>
        <v>250</v>
      </c>
    </row>
    <row r="112" spans="1:6" ht="25.5" x14ac:dyDescent="0.2">
      <c r="A112" s="34" t="s">
        <v>123</v>
      </c>
      <c r="B112" s="6" t="s">
        <v>72</v>
      </c>
      <c r="C112" s="6" t="s">
        <v>106</v>
      </c>
      <c r="D112" s="6" t="s">
        <v>391</v>
      </c>
      <c r="E112" s="6" t="s">
        <v>124</v>
      </c>
      <c r="F112" s="19">
        <v>250</v>
      </c>
    </row>
    <row r="113" spans="1:6" ht="38.25" x14ac:dyDescent="0.2">
      <c r="A113" s="62" t="s">
        <v>571</v>
      </c>
      <c r="B113" s="10" t="s">
        <v>72</v>
      </c>
      <c r="C113" s="10" t="s">
        <v>106</v>
      </c>
      <c r="D113" s="10" t="s">
        <v>568</v>
      </c>
      <c r="E113" s="10"/>
      <c r="F113" s="51">
        <f>F114</f>
        <v>220</v>
      </c>
    </row>
    <row r="114" spans="1:6" ht="25.5" x14ac:dyDescent="0.2">
      <c r="A114" s="73" t="s">
        <v>572</v>
      </c>
      <c r="B114" s="4" t="s">
        <v>72</v>
      </c>
      <c r="C114" s="4" t="s">
        <v>106</v>
      </c>
      <c r="D114" s="4" t="s">
        <v>569</v>
      </c>
      <c r="E114" s="4"/>
      <c r="F114" s="5">
        <f>F115</f>
        <v>220</v>
      </c>
    </row>
    <row r="115" spans="1:6" s="39" customFormat="1" ht="25.5" x14ac:dyDescent="0.2">
      <c r="A115" s="15" t="s">
        <v>172</v>
      </c>
      <c r="B115" s="4" t="s">
        <v>72</v>
      </c>
      <c r="C115" s="4" t="s">
        <v>106</v>
      </c>
      <c r="D115" s="4" t="s">
        <v>570</v>
      </c>
      <c r="E115" s="4"/>
      <c r="F115" s="5">
        <f>F116</f>
        <v>220</v>
      </c>
    </row>
    <row r="116" spans="1:6" ht="25.5" x14ac:dyDescent="0.2">
      <c r="A116" s="34" t="s">
        <v>123</v>
      </c>
      <c r="B116" s="6" t="s">
        <v>72</v>
      </c>
      <c r="C116" s="6" t="s">
        <v>106</v>
      </c>
      <c r="D116" s="6" t="s">
        <v>570</v>
      </c>
      <c r="E116" s="6" t="s">
        <v>124</v>
      </c>
      <c r="F116" s="19">
        <f>220</f>
        <v>220</v>
      </c>
    </row>
    <row r="117" spans="1:6" x14ac:dyDescent="0.2">
      <c r="A117" s="17" t="s">
        <v>163</v>
      </c>
      <c r="B117" s="10" t="s">
        <v>72</v>
      </c>
      <c r="C117" s="10" t="s">
        <v>106</v>
      </c>
      <c r="D117" s="10" t="s">
        <v>184</v>
      </c>
      <c r="E117" s="10"/>
      <c r="F117" s="51">
        <f>F118+F123+F128+F133+F143+F145+F157+F121+F138+F155</f>
        <v>49774.598449999998</v>
      </c>
    </row>
    <row r="118" spans="1:6" ht="38.25" x14ac:dyDescent="0.2">
      <c r="A118" s="29" t="s">
        <v>297</v>
      </c>
      <c r="B118" s="4" t="s">
        <v>72</v>
      </c>
      <c r="C118" s="4" t="s">
        <v>106</v>
      </c>
      <c r="D118" s="4" t="s">
        <v>197</v>
      </c>
      <c r="E118" s="4"/>
      <c r="F118" s="5">
        <f>SUM(F119:F120)</f>
        <v>308.89999999999998</v>
      </c>
    </row>
    <row r="119" spans="1:6" x14ac:dyDescent="0.2">
      <c r="A119" s="36" t="s">
        <v>286</v>
      </c>
      <c r="B119" s="6" t="s">
        <v>72</v>
      </c>
      <c r="C119" s="6" t="s">
        <v>106</v>
      </c>
      <c r="D119" s="6" t="s">
        <v>197</v>
      </c>
      <c r="E119" s="6" t="s">
        <v>151</v>
      </c>
      <c r="F119" s="82">
        <v>237.3</v>
      </c>
    </row>
    <row r="120" spans="1:6" ht="38.25" x14ac:dyDescent="0.2">
      <c r="A120" s="13" t="s">
        <v>287</v>
      </c>
      <c r="B120" s="6" t="s">
        <v>72</v>
      </c>
      <c r="C120" s="6" t="s">
        <v>106</v>
      </c>
      <c r="D120" s="6" t="s">
        <v>197</v>
      </c>
      <c r="E120" s="6" t="s">
        <v>203</v>
      </c>
      <c r="F120" s="82">
        <v>71.599999999999994</v>
      </c>
    </row>
    <row r="121" spans="1:6" x14ac:dyDescent="0.2">
      <c r="A121" s="23" t="s">
        <v>459</v>
      </c>
      <c r="B121" s="4" t="s">
        <v>72</v>
      </c>
      <c r="C121" s="4" t="s">
        <v>106</v>
      </c>
      <c r="D121" s="4" t="s">
        <v>460</v>
      </c>
      <c r="E121" s="4"/>
      <c r="F121" s="92">
        <f>F122</f>
        <v>3750</v>
      </c>
    </row>
    <row r="122" spans="1:6" ht="25.5" x14ac:dyDescent="0.2">
      <c r="A122" s="34" t="s">
        <v>123</v>
      </c>
      <c r="B122" s="6" t="s">
        <v>72</v>
      </c>
      <c r="C122" s="6" t="s">
        <v>106</v>
      </c>
      <c r="D122" s="6" t="s">
        <v>460</v>
      </c>
      <c r="E122" s="6" t="s">
        <v>124</v>
      </c>
      <c r="F122" s="82">
        <v>3750</v>
      </c>
    </row>
    <row r="123" spans="1:6" ht="25.5" x14ac:dyDescent="0.2">
      <c r="A123" s="23" t="s">
        <v>104</v>
      </c>
      <c r="B123" s="4" t="s">
        <v>72</v>
      </c>
      <c r="C123" s="4" t="s">
        <v>106</v>
      </c>
      <c r="D123" s="4" t="s">
        <v>198</v>
      </c>
      <c r="E123" s="4"/>
      <c r="F123" s="92">
        <f>SUM(F124:F127)</f>
        <v>662.1</v>
      </c>
    </row>
    <row r="124" spans="1:6" ht="25.5" x14ac:dyDescent="0.2">
      <c r="A124" s="34" t="s">
        <v>182</v>
      </c>
      <c r="B124" s="6" t="s">
        <v>72</v>
      </c>
      <c r="C124" s="6" t="s">
        <v>106</v>
      </c>
      <c r="D124" s="6" t="s">
        <v>198</v>
      </c>
      <c r="E124" s="6" t="s">
        <v>120</v>
      </c>
      <c r="F124" s="82">
        <v>425.8</v>
      </c>
    </row>
    <row r="125" spans="1:6" ht="38.25" x14ac:dyDescent="0.2">
      <c r="A125" s="34" t="s">
        <v>183</v>
      </c>
      <c r="B125" s="6" t="s">
        <v>72</v>
      </c>
      <c r="C125" s="6" t="s">
        <v>106</v>
      </c>
      <c r="D125" s="6" t="s">
        <v>198</v>
      </c>
      <c r="E125" s="6" t="s">
        <v>176</v>
      </c>
      <c r="F125" s="82">
        <v>128.6</v>
      </c>
    </row>
    <row r="126" spans="1:6" ht="25.5" x14ac:dyDescent="0.2">
      <c r="A126" s="34" t="s">
        <v>121</v>
      </c>
      <c r="B126" s="6" t="s">
        <v>72</v>
      </c>
      <c r="C126" s="6" t="s">
        <v>106</v>
      </c>
      <c r="D126" s="6" t="s">
        <v>198</v>
      </c>
      <c r="E126" s="6" t="s">
        <v>122</v>
      </c>
      <c r="F126" s="82">
        <v>46.2</v>
      </c>
    </row>
    <row r="127" spans="1:6" ht="25.5" x14ac:dyDescent="0.2">
      <c r="A127" s="34" t="s">
        <v>123</v>
      </c>
      <c r="B127" s="6" t="s">
        <v>72</v>
      </c>
      <c r="C127" s="6" t="s">
        <v>106</v>
      </c>
      <c r="D127" s="6" t="s">
        <v>198</v>
      </c>
      <c r="E127" s="6" t="s">
        <v>124</v>
      </c>
      <c r="F127" s="82">
        <v>61.5</v>
      </c>
    </row>
    <row r="128" spans="1:6" ht="38.25" x14ac:dyDescent="0.2">
      <c r="A128" s="23" t="s">
        <v>94</v>
      </c>
      <c r="B128" s="4" t="s">
        <v>87</v>
      </c>
      <c r="C128" s="4" t="s">
        <v>106</v>
      </c>
      <c r="D128" s="4" t="s">
        <v>199</v>
      </c>
      <c r="E128" s="4"/>
      <c r="F128" s="92">
        <f>SUM(F129:F132)</f>
        <v>790.1</v>
      </c>
    </row>
    <row r="129" spans="1:6" ht="25.5" x14ac:dyDescent="0.2">
      <c r="A129" s="34" t="s">
        <v>182</v>
      </c>
      <c r="B129" s="6" t="s">
        <v>72</v>
      </c>
      <c r="C129" s="6" t="s">
        <v>106</v>
      </c>
      <c r="D129" s="6" t="s">
        <v>199</v>
      </c>
      <c r="E129" s="6" t="s">
        <v>120</v>
      </c>
      <c r="F129" s="82">
        <v>501.3</v>
      </c>
    </row>
    <row r="130" spans="1:6" s="39" customFormat="1" ht="38.25" x14ac:dyDescent="0.2">
      <c r="A130" s="34" t="s">
        <v>183</v>
      </c>
      <c r="B130" s="6" t="s">
        <v>72</v>
      </c>
      <c r="C130" s="6" t="s">
        <v>106</v>
      </c>
      <c r="D130" s="6" t="s">
        <v>199</v>
      </c>
      <c r="E130" s="6" t="s">
        <v>176</v>
      </c>
      <c r="F130" s="82">
        <v>151.4</v>
      </c>
    </row>
    <row r="131" spans="1:6" ht="25.5" x14ac:dyDescent="0.2">
      <c r="A131" s="34" t="s">
        <v>121</v>
      </c>
      <c r="B131" s="6" t="s">
        <v>72</v>
      </c>
      <c r="C131" s="6" t="s">
        <v>106</v>
      </c>
      <c r="D131" s="6" t="s">
        <v>199</v>
      </c>
      <c r="E131" s="6" t="s">
        <v>122</v>
      </c>
      <c r="F131" s="82">
        <v>41</v>
      </c>
    </row>
    <row r="132" spans="1:6" ht="25.5" x14ac:dyDescent="0.2">
      <c r="A132" s="34" t="s">
        <v>123</v>
      </c>
      <c r="B132" s="6" t="s">
        <v>72</v>
      </c>
      <c r="C132" s="6" t="s">
        <v>106</v>
      </c>
      <c r="D132" s="6" t="s">
        <v>199</v>
      </c>
      <c r="E132" s="6" t="s">
        <v>124</v>
      </c>
      <c r="F132" s="82">
        <v>96.4</v>
      </c>
    </row>
    <row r="133" spans="1:6" ht="38.25" x14ac:dyDescent="0.2">
      <c r="A133" s="29" t="s">
        <v>101</v>
      </c>
      <c r="B133" s="4" t="s">
        <v>72</v>
      </c>
      <c r="C133" s="4" t="s">
        <v>106</v>
      </c>
      <c r="D133" s="4" t="s">
        <v>200</v>
      </c>
      <c r="E133" s="4"/>
      <c r="F133" s="92">
        <f>SUM(F134:F137)</f>
        <v>513.5</v>
      </c>
    </row>
    <row r="134" spans="1:6" ht="25.5" x14ac:dyDescent="0.2">
      <c r="A134" s="34" t="s">
        <v>182</v>
      </c>
      <c r="B134" s="6" t="s">
        <v>72</v>
      </c>
      <c r="C134" s="6" t="s">
        <v>106</v>
      </c>
      <c r="D134" s="6" t="s">
        <v>200</v>
      </c>
      <c r="E134" s="6" t="s">
        <v>120</v>
      </c>
      <c r="F134" s="82">
        <v>358.95</v>
      </c>
    </row>
    <row r="135" spans="1:6" ht="38.25" x14ac:dyDescent="0.2">
      <c r="A135" s="34" t="s">
        <v>183</v>
      </c>
      <c r="B135" s="6" t="s">
        <v>72</v>
      </c>
      <c r="C135" s="6" t="s">
        <v>106</v>
      </c>
      <c r="D135" s="6" t="s">
        <v>200</v>
      </c>
      <c r="E135" s="6" t="s">
        <v>176</v>
      </c>
      <c r="F135" s="82">
        <v>108.34</v>
      </c>
    </row>
    <row r="136" spans="1:6" ht="25.5" x14ac:dyDescent="0.2">
      <c r="A136" s="34" t="s">
        <v>121</v>
      </c>
      <c r="B136" s="6" t="s">
        <v>72</v>
      </c>
      <c r="C136" s="6" t="s">
        <v>106</v>
      </c>
      <c r="D136" s="6" t="s">
        <v>200</v>
      </c>
      <c r="E136" s="6" t="s">
        <v>122</v>
      </c>
      <c r="F136" s="82">
        <v>22</v>
      </c>
    </row>
    <row r="137" spans="1:6" ht="25.5" x14ac:dyDescent="0.2">
      <c r="A137" s="34" t="s">
        <v>123</v>
      </c>
      <c r="B137" s="6" t="s">
        <v>72</v>
      </c>
      <c r="C137" s="6" t="s">
        <v>106</v>
      </c>
      <c r="D137" s="6" t="s">
        <v>200</v>
      </c>
      <c r="E137" s="6" t="s">
        <v>124</v>
      </c>
      <c r="F137" s="82">
        <v>24.21</v>
      </c>
    </row>
    <row r="138" spans="1:6" s="39" customFormat="1" ht="25.5" x14ac:dyDescent="0.2">
      <c r="A138" s="23" t="s">
        <v>155</v>
      </c>
      <c r="B138" s="4" t="s">
        <v>72</v>
      </c>
      <c r="C138" s="4" t="s">
        <v>106</v>
      </c>
      <c r="D138" s="4" t="s">
        <v>495</v>
      </c>
      <c r="E138" s="4"/>
      <c r="F138" s="5">
        <f>SUM(F139:F142)</f>
        <v>7171.5044499999995</v>
      </c>
    </row>
    <row r="139" spans="1:6" s="39" customFormat="1" ht="25.5" x14ac:dyDescent="0.2">
      <c r="A139" s="34" t="s">
        <v>121</v>
      </c>
      <c r="B139" s="6" t="s">
        <v>72</v>
      </c>
      <c r="C139" s="6" t="s">
        <v>106</v>
      </c>
      <c r="D139" s="6" t="s">
        <v>495</v>
      </c>
      <c r="E139" s="6" t="s">
        <v>122</v>
      </c>
      <c r="F139" s="19">
        <v>32.404060000000001</v>
      </c>
    </row>
    <row r="140" spans="1:6" ht="25.5" x14ac:dyDescent="0.2">
      <c r="A140" s="34" t="s">
        <v>123</v>
      </c>
      <c r="B140" s="6" t="s">
        <v>72</v>
      </c>
      <c r="C140" s="6" t="s">
        <v>106</v>
      </c>
      <c r="D140" s="6" t="s">
        <v>495</v>
      </c>
      <c r="E140" s="6" t="s">
        <v>124</v>
      </c>
      <c r="F140" s="19">
        <f>400.59139+6700</f>
        <v>7100.5913899999996</v>
      </c>
    </row>
    <row r="141" spans="1:6" x14ac:dyDescent="0.2">
      <c r="A141" s="13" t="s">
        <v>435</v>
      </c>
      <c r="B141" s="6" t="s">
        <v>72</v>
      </c>
      <c r="C141" s="6" t="s">
        <v>106</v>
      </c>
      <c r="D141" s="6" t="s">
        <v>495</v>
      </c>
      <c r="E141" s="6" t="s">
        <v>434</v>
      </c>
      <c r="F141" s="19">
        <v>28.78107</v>
      </c>
    </row>
    <row r="142" spans="1:6" x14ac:dyDescent="0.2">
      <c r="A142" s="13"/>
      <c r="B142" s="6" t="s">
        <v>72</v>
      </c>
      <c r="C142" s="6" t="s">
        <v>106</v>
      </c>
      <c r="D142" s="6" t="s">
        <v>495</v>
      </c>
      <c r="E142" s="6" t="s">
        <v>573</v>
      </c>
      <c r="F142" s="19">
        <v>9.7279300000000006</v>
      </c>
    </row>
    <row r="143" spans="1:6" s="39" customFormat="1" ht="25.5" x14ac:dyDescent="0.2">
      <c r="A143" s="28" t="s">
        <v>331</v>
      </c>
      <c r="B143" s="4" t="s">
        <v>72</v>
      </c>
      <c r="C143" s="4" t="s">
        <v>106</v>
      </c>
      <c r="D143" s="4" t="s">
        <v>41</v>
      </c>
      <c r="E143" s="4"/>
      <c r="F143" s="5">
        <f>F144</f>
        <v>2718.7</v>
      </c>
    </row>
    <row r="144" spans="1:6" ht="51" x14ac:dyDescent="0.2">
      <c r="A144" s="83" t="s">
        <v>133</v>
      </c>
      <c r="B144" s="6" t="s">
        <v>72</v>
      </c>
      <c r="C144" s="6" t="s">
        <v>106</v>
      </c>
      <c r="D144" s="6" t="s">
        <v>41</v>
      </c>
      <c r="E144" s="6" t="s">
        <v>137</v>
      </c>
      <c r="F144" s="19">
        <v>2718.7</v>
      </c>
    </row>
    <row r="145" spans="1:6" ht="25.5" x14ac:dyDescent="0.2">
      <c r="A145" s="35" t="s">
        <v>159</v>
      </c>
      <c r="B145" s="10" t="s">
        <v>72</v>
      </c>
      <c r="C145" s="10" t="s">
        <v>106</v>
      </c>
      <c r="D145" s="10" t="s">
        <v>201</v>
      </c>
      <c r="E145" s="10"/>
      <c r="F145" s="51">
        <f>F146</f>
        <v>23706.538999999997</v>
      </c>
    </row>
    <row r="146" spans="1:6" ht="25.5" x14ac:dyDescent="0.2">
      <c r="A146" s="28" t="s">
        <v>150</v>
      </c>
      <c r="B146" s="4" t="s">
        <v>72</v>
      </c>
      <c r="C146" s="4" t="s">
        <v>106</v>
      </c>
      <c r="D146" s="4" t="s">
        <v>202</v>
      </c>
      <c r="E146" s="4"/>
      <c r="F146" s="5">
        <f>SUM(F147:F154)</f>
        <v>23706.538999999997</v>
      </c>
    </row>
    <row r="147" spans="1:6" x14ac:dyDescent="0.2">
      <c r="A147" s="36" t="s">
        <v>285</v>
      </c>
      <c r="B147" s="6" t="s">
        <v>72</v>
      </c>
      <c r="C147" s="6" t="s">
        <v>106</v>
      </c>
      <c r="D147" s="6" t="s">
        <v>202</v>
      </c>
      <c r="E147" s="6" t="s">
        <v>151</v>
      </c>
      <c r="F147" s="19">
        <v>11838.2</v>
      </c>
    </row>
    <row r="148" spans="1:6" ht="25.5" x14ac:dyDescent="0.2">
      <c r="A148" s="13" t="s">
        <v>283</v>
      </c>
      <c r="B148" s="6" t="s">
        <v>72</v>
      </c>
      <c r="C148" s="6" t="s">
        <v>106</v>
      </c>
      <c r="D148" s="6" t="s">
        <v>202</v>
      </c>
      <c r="E148" s="6" t="s">
        <v>494</v>
      </c>
      <c r="F148" s="19">
        <v>205.8</v>
      </c>
    </row>
    <row r="149" spans="1:6" ht="38.25" x14ac:dyDescent="0.2">
      <c r="A149" s="13" t="s">
        <v>287</v>
      </c>
      <c r="B149" s="6" t="s">
        <v>72</v>
      </c>
      <c r="C149" s="6" t="s">
        <v>106</v>
      </c>
      <c r="D149" s="6" t="s">
        <v>202</v>
      </c>
      <c r="E149" s="6" t="s">
        <v>203</v>
      </c>
      <c r="F149" s="19">
        <v>3572.4875000000002</v>
      </c>
    </row>
    <row r="150" spans="1:6" ht="25.5" x14ac:dyDescent="0.2">
      <c r="A150" s="34" t="s">
        <v>121</v>
      </c>
      <c r="B150" s="6" t="s">
        <v>72</v>
      </c>
      <c r="C150" s="6" t="s">
        <v>106</v>
      </c>
      <c r="D150" s="6" t="s">
        <v>202</v>
      </c>
      <c r="E150" s="6" t="s">
        <v>122</v>
      </c>
      <c r="F150" s="19">
        <v>871.5</v>
      </c>
    </row>
    <row r="151" spans="1:6" ht="25.5" x14ac:dyDescent="0.2">
      <c r="A151" s="13" t="s">
        <v>123</v>
      </c>
      <c r="B151" s="6" t="s">
        <v>72</v>
      </c>
      <c r="C151" s="6" t="s">
        <v>106</v>
      </c>
      <c r="D151" s="6" t="s">
        <v>202</v>
      </c>
      <c r="E151" s="6" t="s">
        <v>124</v>
      </c>
      <c r="F151" s="19">
        <v>5870.7389999999996</v>
      </c>
    </row>
    <row r="152" spans="1:6" x14ac:dyDescent="0.2">
      <c r="A152" s="13" t="s">
        <v>435</v>
      </c>
      <c r="B152" s="6" t="s">
        <v>72</v>
      </c>
      <c r="C152" s="6" t="s">
        <v>106</v>
      </c>
      <c r="D152" s="6" t="s">
        <v>202</v>
      </c>
      <c r="E152" s="6" t="s">
        <v>434</v>
      </c>
      <c r="F152" s="19">
        <v>1297.5</v>
      </c>
    </row>
    <row r="153" spans="1:6" x14ac:dyDescent="0.2">
      <c r="A153" s="13" t="s">
        <v>509</v>
      </c>
      <c r="B153" s="6" t="s">
        <v>72</v>
      </c>
      <c r="C153" s="6" t="s">
        <v>106</v>
      </c>
      <c r="D153" s="6" t="s">
        <v>202</v>
      </c>
      <c r="E153" s="6" t="s">
        <v>508</v>
      </c>
      <c r="F153" s="19">
        <v>50</v>
      </c>
    </row>
    <row r="154" spans="1:6" x14ac:dyDescent="0.2">
      <c r="A154" s="67" t="s">
        <v>346</v>
      </c>
      <c r="B154" s="6" t="s">
        <v>72</v>
      </c>
      <c r="C154" s="6" t="s">
        <v>106</v>
      </c>
      <c r="D154" s="6" t="s">
        <v>202</v>
      </c>
      <c r="E154" s="6" t="s">
        <v>345</v>
      </c>
      <c r="F154" s="19">
        <v>0.3125</v>
      </c>
    </row>
    <row r="155" spans="1:6" ht="25.5" x14ac:dyDescent="0.2">
      <c r="A155" s="28" t="s">
        <v>527</v>
      </c>
      <c r="B155" s="4" t="s">
        <v>72</v>
      </c>
      <c r="C155" s="4" t="s">
        <v>106</v>
      </c>
      <c r="D155" s="4" t="s">
        <v>196</v>
      </c>
      <c r="E155" s="4"/>
      <c r="F155" s="92">
        <f>F156</f>
        <v>217</v>
      </c>
    </row>
    <row r="156" spans="1:6" x14ac:dyDescent="0.2">
      <c r="A156" s="34" t="s">
        <v>441</v>
      </c>
      <c r="B156" s="6" t="s">
        <v>72</v>
      </c>
      <c r="C156" s="6" t="s">
        <v>106</v>
      </c>
      <c r="D156" s="6" t="s">
        <v>196</v>
      </c>
      <c r="E156" s="6" t="s">
        <v>442</v>
      </c>
      <c r="F156" s="82">
        <v>217</v>
      </c>
    </row>
    <row r="157" spans="1:6" ht="38.25" x14ac:dyDescent="0.2">
      <c r="A157" s="28" t="s">
        <v>321</v>
      </c>
      <c r="B157" s="4" t="s">
        <v>72</v>
      </c>
      <c r="C157" s="4" t="s">
        <v>106</v>
      </c>
      <c r="D157" s="4" t="s">
        <v>322</v>
      </c>
      <c r="E157" s="4"/>
      <c r="F157" s="5">
        <f>F158</f>
        <v>9936.2549999999992</v>
      </c>
    </row>
    <row r="158" spans="1:6" ht="25.5" x14ac:dyDescent="0.2">
      <c r="A158" s="34" t="s">
        <v>35</v>
      </c>
      <c r="B158" s="6" t="s">
        <v>72</v>
      </c>
      <c r="C158" s="6" t="s">
        <v>106</v>
      </c>
      <c r="D158" s="6" t="s">
        <v>322</v>
      </c>
      <c r="E158" s="6" t="s">
        <v>34</v>
      </c>
      <c r="F158" s="82">
        <v>9936.2549999999992</v>
      </c>
    </row>
    <row r="159" spans="1:6" ht="25.5" x14ac:dyDescent="0.2">
      <c r="A159" s="20" t="s">
        <v>146</v>
      </c>
      <c r="B159" s="9" t="s">
        <v>86</v>
      </c>
      <c r="C159" s="9"/>
      <c r="D159" s="52"/>
      <c r="E159" s="52"/>
      <c r="F159" s="49">
        <f>F160</f>
        <v>2500</v>
      </c>
    </row>
    <row r="160" spans="1:6" ht="25.5" x14ac:dyDescent="0.2">
      <c r="A160" s="22" t="s">
        <v>107</v>
      </c>
      <c r="B160" s="8" t="s">
        <v>86</v>
      </c>
      <c r="C160" s="8" t="s">
        <v>80</v>
      </c>
      <c r="D160" s="8"/>
      <c r="E160" s="8"/>
      <c r="F160" s="50">
        <f>F161</f>
        <v>2500</v>
      </c>
    </row>
    <row r="161" spans="1:6" ht="63.75" x14ac:dyDescent="0.2">
      <c r="A161" s="38" t="s">
        <v>412</v>
      </c>
      <c r="B161" s="10" t="s">
        <v>86</v>
      </c>
      <c r="C161" s="10" t="s">
        <v>80</v>
      </c>
      <c r="D161" s="10" t="s">
        <v>413</v>
      </c>
      <c r="E161" s="10"/>
      <c r="F161" s="51">
        <f>F162</f>
        <v>2500</v>
      </c>
    </row>
    <row r="162" spans="1:6" ht="38.25" x14ac:dyDescent="0.2">
      <c r="A162" s="21" t="s">
        <v>414</v>
      </c>
      <c r="B162" s="4" t="s">
        <v>86</v>
      </c>
      <c r="C162" s="4" t="s">
        <v>80</v>
      </c>
      <c r="D162" s="4" t="s">
        <v>415</v>
      </c>
      <c r="E162" s="4"/>
      <c r="F162" s="5">
        <f>F163</f>
        <v>2500</v>
      </c>
    </row>
    <row r="163" spans="1:6" ht="25.5" x14ac:dyDescent="0.2">
      <c r="A163" s="81" t="s">
        <v>416</v>
      </c>
      <c r="B163" s="4" t="s">
        <v>86</v>
      </c>
      <c r="C163" s="4" t="s">
        <v>80</v>
      </c>
      <c r="D163" s="4" t="s">
        <v>417</v>
      </c>
      <c r="E163" s="4"/>
      <c r="F163" s="5">
        <f>SUM(F164:F165)</f>
        <v>2500</v>
      </c>
    </row>
    <row r="164" spans="1:6" ht="25.5" x14ac:dyDescent="0.2">
      <c r="A164" s="13" t="s">
        <v>121</v>
      </c>
      <c r="B164" s="6" t="s">
        <v>86</v>
      </c>
      <c r="C164" s="6" t="s">
        <v>80</v>
      </c>
      <c r="D164" s="6" t="s">
        <v>417</v>
      </c>
      <c r="E164" s="6" t="s">
        <v>122</v>
      </c>
      <c r="F164" s="19">
        <v>16</v>
      </c>
    </row>
    <row r="165" spans="1:6" ht="25.5" x14ac:dyDescent="0.2">
      <c r="A165" s="13" t="s">
        <v>123</v>
      </c>
      <c r="B165" s="6" t="s">
        <v>86</v>
      </c>
      <c r="C165" s="6" t="s">
        <v>80</v>
      </c>
      <c r="D165" s="6" t="s">
        <v>417</v>
      </c>
      <c r="E165" s="6" t="s">
        <v>124</v>
      </c>
      <c r="F165" s="19">
        <v>2484</v>
      </c>
    </row>
    <row r="166" spans="1:6" s="39" customFormat="1" x14ac:dyDescent="0.2">
      <c r="A166" s="20" t="s">
        <v>129</v>
      </c>
      <c r="B166" s="9" t="s">
        <v>74</v>
      </c>
      <c r="C166" s="9"/>
      <c r="D166" s="9"/>
      <c r="E166" s="9"/>
      <c r="F166" s="49">
        <f>F167+F200+F214+F195</f>
        <v>143945.84247</v>
      </c>
    </row>
    <row r="167" spans="1:6" s="39" customFormat="1" x14ac:dyDescent="0.2">
      <c r="A167" s="22" t="s">
        <v>65</v>
      </c>
      <c r="B167" s="8" t="s">
        <v>74</v>
      </c>
      <c r="C167" s="8" t="s">
        <v>76</v>
      </c>
      <c r="D167" s="22"/>
      <c r="E167" s="22"/>
      <c r="F167" s="50">
        <f>F168+F172</f>
        <v>6268.3510000000006</v>
      </c>
    </row>
    <row r="168" spans="1:6" s="39" customFormat="1" ht="38.25" x14ac:dyDescent="0.2">
      <c r="A168" s="38" t="s">
        <v>343</v>
      </c>
      <c r="B168" s="10" t="s">
        <v>74</v>
      </c>
      <c r="C168" s="10" t="s">
        <v>76</v>
      </c>
      <c r="D168" s="10" t="s">
        <v>44</v>
      </c>
      <c r="E168" s="10"/>
      <c r="F168" s="51">
        <f>F169</f>
        <v>100</v>
      </c>
    </row>
    <row r="169" spans="1:6" s="39" customFormat="1" ht="38.25" x14ac:dyDescent="0.2">
      <c r="A169" s="15" t="s">
        <v>45</v>
      </c>
      <c r="B169" s="4" t="s">
        <v>74</v>
      </c>
      <c r="C169" s="4" t="s">
        <v>76</v>
      </c>
      <c r="D169" s="4" t="s">
        <v>529</v>
      </c>
      <c r="E169" s="4"/>
      <c r="F169" s="5">
        <f>F170</f>
        <v>100</v>
      </c>
    </row>
    <row r="170" spans="1:6" s="39" customFormat="1" ht="25.5" x14ac:dyDescent="0.2">
      <c r="A170" s="15" t="s">
        <v>172</v>
      </c>
      <c r="B170" s="4" t="s">
        <v>74</v>
      </c>
      <c r="C170" s="4" t="s">
        <v>76</v>
      </c>
      <c r="D170" s="4" t="s">
        <v>528</v>
      </c>
      <c r="E170" s="4"/>
      <c r="F170" s="5">
        <f>F171</f>
        <v>100</v>
      </c>
    </row>
    <row r="171" spans="1:6" s="39" customFormat="1" ht="25.5" x14ac:dyDescent="0.2">
      <c r="A171" s="13" t="s">
        <v>123</v>
      </c>
      <c r="B171" s="6" t="s">
        <v>74</v>
      </c>
      <c r="C171" s="6" t="s">
        <v>76</v>
      </c>
      <c r="D171" s="6" t="s">
        <v>528</v>
      </c>
      <c r="E171" s="6" t="s">
        <v>124</v>
      </c>
      <c r="F171" s="19">
        <v>100</v>
      </c>
    </row>
    <row r="172" spans="1:6" s="39" customFormat="1" x14ac:dyDescent="0.2">
      <c r="A172" s="38" t="s">
        <v>163</v>
      </c>
      <c r="B172" s="10" t="s">
        <v>74</v>
      </c>
      <c r="C172" s="10" t="s">
        <v>76</v>
      </c>
      <c r="D172" s="10" t="s">
        <v>184</v>
      </c>
      <c r="E172" s="38"/>
      <c r="F172" s="79">
        <f>F173+F175+F178+F180+F183+F185+F188</f>
        <v>6168.3510000000006</v>
      </c>
    </row>
    <row r="173" spans="1:6" ht="25.5" x14ac:dyDescent="0.2">
      <c r="A173" s="29" t="s">
        <v>117</v>
      </c>
      <c r="B173" s="4" t="s">
        <v>74</v>
      </c>
      <c r="C173" s="4" t="s">
        <v>76</v>
      </c>
      <c r="D173" s="4" t="s">
        <v>209</v>
      </c>
      <c r="E173" s="4"/>
      <c r="F173" s="92">
        <f>F174</f>
        <v>311</v>
      </c>
    </row>
    <row r="174" spans="1:6" ht="51" x14ac:dyDescent="0.2">
      <c r="A174" s="18" t="s">
        <v>419</v>
      </c>
      <c r="B174" s="6" t="s">
        <v>74</v>
      </c>
      <c r="C174" s="6" t="s">
        <v>76</v>
      </c>
      <c r="D174" s="6" t="s">
        <v>209</v>
      </c>
      <c r="E174" s="6" t="s">
        <v>418</v>
      </c>
      <c r="F174" s="82">
        <v>311</v>
      </c>
    </row>
    <row r="175" spans="1:6" ht="51" x14ac:dyDescent="0.2">
      <c r="A175" s="27" t="s">
        <v>157</v>
      </c>
      <c r="B175" s="4" t="s">
        <v>74</v>
      </c>
      <c r="C175" s="4" t="s">
        <v>76</v>
      </c>
      <c r="D175" s="4" t="s">
        <v>210</v>
      </c>
      <c r="E175" s="4"/>
      <c r="F175" s="92">
        <f>F176+F177</f>
        <v>1.7000000000000002</v>
      </c>
    </row>
    <row r="176" spans="1:6" ht="25.5" x14ac:dyDescent="0.2">
      <c r="A176" s="34" t="s">
        <v>182</v>
      </c>
      <c r="B176" s="6" t="s">
        <v>74</v>
      </c>
      <c r="C176" s="6" t="s">
        <v>76</v>
      </c>
      <c r="D176" s="6" t="s">
        <v>210</v>
      </c>
      <c r="E176" s="6" t="s">
        <v>120</v>
      </c>
      <c r="F176" s="82">
        <v>1.3</v>
      </c>
    </row>
    <row r="177" spans="1:6" ht="38.25" x14ac:dyDescent="0.2">
      <c r="A177" s="34" t="s">
        <v>183</v>
      </c>
      <c r="B177" s="6" t="s">
        <v>74</v>
      </c>
      <c r="C177" s="6" t="s">
        <v>76</v>
      </c>
      <c r="D177" s="6" t="s">
        <v>210</v>
      </c>
      <c r="E177" s="6" t="s">
        <v>176</v>
      </c>
      <c r="F177" s="82">
        <v>0.4</v>
      </c>
    </row>
    <row r="178" spans="1:6" ht="51" x14ac:dyDescent="0.2">
      <c r="A178" s="29" t="s">
        <v>347</v>
      </c>
      <c r="B178" s="4" t="s">
        <v>74</v>
      </c>
      <c r="C178" s="4" t="s">
        <v>76</v>
      </c>
      <c r="D178" s="4" t="s">
        <v>348</v>
      </c>
      <c r="E178" s="4"/>
      <c r="F178" s="92">
        <f>F179</f>
        <v>146.69999999999999</v>
      </c>
    </row>
    <row r="179" spans="1:6" ht="25.5" x14ac:dyDescent="0.2">
      <c r="A179" s="34" t="s">
        <v>35</v>
      </c>
      <c r="B179" s="6" t="s">
        <v>74</v>
      </c>
      <c r="C179" s="6" t="s">
        <v>76</v>
      </c>
      <c r="D179" s="6" t="s">
        <v>348</v>
      </c>
      <c r="E179" s="6" t="s">
        <v>34</v>
      </c>
      <c r="F179" s="82">
        <v>146.69999999999999</v>
      </c>
    </row>
    <row r="180" spans="1:6" s="39" customFormat="1" ht="51" x14ac:dyDescent="0.2">
      <c r="A180" s="28" t="s">
        <v>308</v>
      </c>
      <c r="B180" s="4" t="s">
        <v>74</v>
      </c>
      <c r="C180" s="4" t="s">
        <v>76</v>
      </c>
      <c r="D180" s="4" t="s">
        <v>320</v>
      </c>
      <c r="E180" s="4"/>
      <c r="F180" s="92">
        <f>SUM(F181:F182)</f>
        <v>60.704999999999998</v>
      </c>
    </row>
    <row r="181" spans="1:6" s="39" customFormat="1" x14ac:dyDescent="0.2">
      <c r="A181" s="36" t="s">
        <v>285</v>
      </c>
      <c r="B181" s="6" t="s">
        <v>74</v>
      </c>
      <c r="C181" s="6" t="s">
        <v>76</v>
      </c>
      <c r="D181" s="6" t="s">
        <v>320</v>
      </c>
      <c r="E181" s="6" t="s">
        <v>151</v>
      </c>
      <c r="F181" s="82">
        <v>46.625</v>
      </c>
    </row>
    <row r="182" spans="1:6" s="39" customFormat="1" ht="25.5" x14ac:dyDescent="0.2">
      <c r="A182" s="34" t="s">
        <v>283</v>
      </c>
      <c r="B182" s="6" t="s">
        <v>74</v>
      </c>
      <c r="C182" s="6" t="s">
        <v>76</v>
      </c>
      <c r="D182" s="6" t="s">
        <v>320</v>
      </c>
      <c r="E182" s="6" t="s">
        <v>203</v>
      </c>
      <c r="F182" s="82">
        <v>14.08</v>
      </c>
    </row>
    <row r="183" spans="1:6" s="39" customFormat="1" ht="51" x14ac:dyDescent="0.2">
      <c r="A183" s="29" t="s">
        <v>307</v>
      </c>
      <c r="B183" s="4" t="s">
        <v>74</v>
      </c>
      <c r="C183" s="4" t="s">
        <v>76</v>
      </c>
      <c r="D183" s="4" t="s">
        <v>319</v>
      </c>
      <c r="E183" s="4"/>
      <c r="F183" s="92">
        <f>F184</f>
        <v>4047.7460000000001</v>
      </c>
    </row>
    <row r="184" spans="1:6" s="39" customFormat="1" ht="25.5" x14ac:dyDescent="0.2">
      <c r="A184" s="34" t="s">
        <v>123</v>
      </c>
      <c r="B184" s="6" t="s">
        <v>74</v>
      </c>
      <c r="C184" s="6" t="s">
        <v>76</v>
      </c>
      <c r="D184" s="6" t="s">
        <v>319</v>
      </c>
      <c r="E184" s="6" t="s">
        <v>124</v>
      </c>
      <c r="F184" s="82">
        <v>4047.7460000000001</v>
      </c>
    </row>
    <row r="185" spans="1:6" ht="51" x14ac:dyDescent="0.2">
      <c r="A185" s="29" t="s">
        <v>349</v>
      </c>
      <c r="B185" s="4" t="s">
        <v>74</v>
      </c>
      <c r="C185" s="4" t="s">
        <v>76</v>
      </c>
      <c r="D185" s="4" t="s">
        <v>350</v>
      </c>
      <c r="E185" s="4"/>
      <c r="F185" s="92">
        <f>F186+F187</f>
        <v>22</v>
      </c>
    </row>
    <row r="186" spans="1:6" x14ac:dyDescent="0.2">
      <c r="A186" s="36" t="s">
        <v>285</v>
      </c>
      <c r="B186" s="6" t="s">
        <v>74</v>
      </c>
      <c r="C186" s="6" t="s">
        <v>76</v>
      </c>
      <c r="D186" s="6" t="s">
        <v>350</v>
      </c>
      <c r="E186" s="6" t="s">
        <v>151</v>
      </c>
      <c r="F186" s="92">
        <v>16.899999999999999</v>
      </c>
    </row>
    <row r="187" spans="1:6" ht="38.25" x14ac:dyDescent="0.2">
      <c r="A187" s="13" t="s">
        <v>287</v>
      </c>
      <c r="B187" s="6" t="s">
        <v>74</v>
      </c>
      <c r="C187" s="6" t="s">
        <v>76</v>
      </c>
      <c r="D187" s="6" t="s">
        <v>350</v>
      </c>
      <c r="E187" s="6" t="s">
        <v>203</v>
      </c>
      <c r="F187" s="82">
        <v>5.0999999999999996</v>
      </c>
    </row>
    <row r="188" spans="1:6" ht="25.5" x14ac:dyDescent="0.2">
      <c r="A188" s="35" t="s">
        <v>159</v>
      </c>
      <c r="B188" s="10" t="s">
        <v>74</v>
      </c>
      <c r="C188" s="10" t="s">
        <v>76</v>
      </c>
      <c r="D188" s="10" t="s">
        <v>201</v>
      </c>
      <c r="E188" s="10"/>
      <c r="F188" s="51">
        <f>F189</f>
        <v>1578.5</v>
      </c>
    </row>
    <row r="189" spans="1:6" ht="25.5" x14ac:dyDescent="0.2">
      <c r="A189" s="28" t="s">
        <v>47</v>
      </c>
      <c r="B189" s="4" t="s">
        <v>74</v>
      </c>
      <c r="C189" s="4" t="s">
        <v>76</v>
      </c>
      <c r="D189" s="4" t="s">
        <v>48</v>
      </c>
      <c r="E189" s="4"/>
      <c r="F189" s="5">
        <f>SUM(F190:F194)</f>
        <v>1578.5</v>
      </c>
    </row>
    <row r="190" spans="1:6" x14ac:dyDescent="0.2">
      <c r="A190" s="36" t="s">
        <v>285</v>
      </c>
      <c r="B190" s="6" t="s">
        <v>74</v>
      </c>
      <c r="C190" s="6" t="s">
        <v>76</v>
      </c>
      <c r="D190" s="6" t="s">
        <v>48</v>
      </c>
      <c r="E190" s="6" t="s">
        <v>151</v>
      </c>
      <c r="F190" s="19">
        <v>1148.0999999999999</v>
      </c>
    </row>
    <row r="191" spans="1:6" ht="25.5" x14ac:dyDescent="0.2">
      <c r="A191" s="107" t="s">
        <v>503</v>
      </c>
      <c r="B191" s="6" t="s">
        <v>74</v>
      </c>
      <c r="C191" s="6" t="s">
        <v>76</v>
      </c>
      <c r="D191" s="6" t="s">
        <v>48</v>
      </c>
      <c r="E191" s="6" t="s">
        <v>494</v>
      </c>
      <c r="F191" s="19">
        <v>10</v>
      </c>
    </row>
    <row r="192" spans="1:6" ht="38.25" x14ac:dyDescent="0.2">
      <c r="A192" s="13" t="s">
        <v>287</v>
      </c>
      <c r="B192" s="6" t="s">
        <v>74</v>
      </c>
      <c r="C192" s="6" t="s">
        <v>76</v>
      </c>
      <c r="D192" s="6" t="s">
        <v>48</v>
      </c>
      <c r="E192" s="6" t="s">
        <v>203</v>
      </c>
      <c r="F192" s="19">
        <v>346.7</v>
      </c>
    </row>
    <row r="193" spans="1:10" ht="25.5" x14ac:dyDescent="0.2">
      <c r="A193" s="13" t="s">
        <v>121</v>
      </c>
      <c r="B193" s="6" t="s">
        <v>74</v>
      </c>
      <c r="C193" s="6" t="s">
        <v>76</v>
      </c>
      <c r="D193" s="6" t="s">
        <v>48</v>
      </c>
      <c r="E193" s="6" t="s">
        <v>122</v>
      </c>
      <c r="F193" s="19">
        <v>55.8</v>
      </c>
    </row>
    <row r="194" spans="1:10" ht="25.5" x14ac:dyDescent="0.2">
      <c r="A194" s="13" t="s">
        <v>123</v>
      </c>
      <c r="B194" s="6" t="s">
        <v>74</v>
      </c>
      <c r="C194" s="6" t="s">
        <v>76</v>
      </c>
      <c r="D194" s="6" t="s">
        <v>48</v>
      </c>
      <c r="E194" s="6" t="s">
        <v>124</v>
      </c>
      <c r="F194" s="19">
        <v>17.899999999999999</v>
      </c>
    </row>
    <row r="195" spans="1:10" x14ac:dyDescent="0.2">
      <c r="A195" s="22" t="s">
        <v>108</v>
      </c>
      <c r="B195" s="8" t="s">
        <v>100</v>
      </c>
      <c r="C195" s="8" t="s">
        <v>79</v>
      </c>
      <c r="D195" s="8"/>
      <c r="E195" s="8"/>
      <c r="F195" s="50">
        <f>F196</f>
        <v>16730.654000000002</v>
      </c>
    </row>
    <row r="196" spans="1:10" ht="63.75" x14ac:dyDescent="0.2">
      <c r="A196" s="38" t="s">
        <v>412</v>
      </c>
      <c r="B196" s="10" t="s">
        <v>74</v>
      </c>
      <c r="C196" s="10" t="s">
        <v>79</v>
      </c>
      <c r="D196" s="10" t="s">
        <v>413</v>
      </c>
      <c r="E196" s="10"/>
      <c r="F196" s="51">
        <f>F197</f>
        <v>16730.654000000002</v>
      </c>
    </row>
    <row r="197" spans="1:10" ht="38.25" x14ac:dyDescent="0.2">
      <c r="A197" s="15" t="s">
        <v>414</v>
      </c>
      <c r="B197" s="4" t="s">
        <v>74</v>
      </c>
      <c r="C197" s="4" t="s">
        <v>79</v>
      </c>
      <c r="D197" s="4" t="s">
        <v>500</v>
      </c>
      <c r="E197" s="4"/>
      <c r="F197" s="5">
        <f>F198</f>
        <v>16730.654000000002</v>
      </c>
    </row>
    <row r="198" spans="1:10" ht="42.75" customHeight="1" x14ac:dyDescent="0.2">
      <c r="A198" s="15" t="s">
        <v>502</v>
      </c>
      <c r="B198" s="4" t="s">
        <v>74</v>
      </c>
      <c r="C198" s="4" t="s">
        <v>79</v>
      </c>
      <c r="D198" s="4" t="s">
        <v>501</v>
      </c>
      <c r="E198" s="4"/>
      <c r="F198" s="5">
        <f>F199</f>
        <v>16730.654000000002</v>
      </c>
    </row>
    <row r="199" spans="1:10" x14ac:dyDescent="0.2">
      <c r="A199" s="24" t="s">
        <v>175</v>
      </c>
      <c r="B199" s="86" t="s">
        <v>74</v>
      </c>
      <c r="C199" s="86" t="s">
        <v>79</v>
      </c>
      <c r="D199" s="6" t="s">
        <v>501</v>
      </c>
      <c r="E199" s="86" t="s">
        <v>128</v>
      </c>
      <c r="F199" s="82">
        <f>15894.1213+836.5327</f>
        <v>16730.654000000002</v>
      </c>
      <c r="H199" s="12"/>
      <c r="I199" s="12"/>
      <c r="J199" s="12"/>
    </row>
    <row r="200" spans="1:10" x14ac:dyDescent="0.2">
      <c r="A200" s="22" t="s">
        <v>108</v>
      </c>
      <c r="B200" s="8" t="s">
        <v>100</v>
      </c>
      <c r="C200" s="8" t="s">
        <v>77</v>
      </c>
      <c r="D200" s="8"/>
      <c r="E200" s="8"/>
      <c r="F200" s="50">
        <f>F201</f>
        <v>118218.04947000001</v>
      </c>
    </row>
    <row r="201" spans="1:10" ht="51" x14ac:dyDescent="0.2">
      <c r="A201" s="38" t="s">
        <v>341</v>
      </c>
      <c r="B201" s="10" t="s">
        <v>74</v>
      </c>
      <c r="C201" s="10" t="s">
        <v>77</v>
      </c>
      <c r="D201" s="10" t="s">
        <v>204</v>
      </c>
      <c r="E201" s="10"/>
      <c r="F201" s="51">
        <f>F203</f>
        <v>118218.04947000001</v>
      </c>
    </row>
    <row r="202" spans="1:10" ht="27" x14ac:dyDescent="0.25">
      <c r="A202" s="64" t="s">
        <v>559</v>
      </c>
      <c r="B202" s="7" t="s">
        <v>74</v>
      </c>
      <c r="C202" s="7" t="s">
        <v>77</v>
      </c>
      <c r="D202" s="7" t="s">
        <v>558</v>
      </c>
      <c r="E202" s="7"/>
      <c r="F202" s="42">
        <f>F203+F207+F210</f>
        <v>180643.15887000001</v>
      </c>
    </row>
    <row r="203" spans="1:10" ht="25.5" x14ac:dyDescent="0.2">
      <c r="A203" s="15" t="s">
        <v>561</v>
      </c>
      <c r="B203" s="4" t="s">
        <v>74</v>
      </c>
      <c r="C203" s="4" t="s">
        <v>77</v>
      </c>
      <c r="D203" s="4" t="s">
        <v>560</v>
      </c>
      <c r="E203" s="4"/>
      <c r="F203" s="5">
        <f>F204+F208+F212</f>
        <v>118218.04947000001</v>
      </c>
    </row>
    <row r="204" spans="1:10" s="66" customFormat="1" ht="26.25" x14ac:dyDescent="0.25">
      <c r="A204" s="15" t="s">
        <v>563</v>
      </c>
      <c r="B204" s="4" t="s">
        <v>74</v>
      </c>
      <c r="C204" s="4" t="s">
        <v>77</v>
      </c>
      <c r="D204" s="4" t="s">
        <v>562</v>
      </c>
      <c r="E204" s="4"/>
      <c r="F204" s="5">
        <f>SUM(F205:F207)</f>
        <v>16087.21249</v>
      </c>
    </row>
    <row r="205" spans="1:10" s="66" customFormat="1" ht="25.5" x14ac:dyDescent="0.25">
      <c r="A205" s="13" t="s">
        <v>123</v>
      </c>
      <c r="B205" s="6" t="s">
        <v>74</v>
      </c>
      <c r="C205" s="6" t="s">
        <v>77</v>
      </c>
      <c r="D205" s="6" t="s">
        <v>562</v>
      </c>
      <c r="E205" s="6" t="s">
        <v>124</v>
      </c>
      <c r="F205" s="19">
        <v>3636.2475399999998</v>
      </c>
    </row>
    <row r="206" spans="1:10" s="66" customFormat="1" ht="13.5" x14ac:dyDescent="0.25">
      <c r="A206" s="13" t="s">
        <v>435</v>
      </c>
      <c r="B206" s="6" t="s">
        <v>74</v>
      </c>
      <c r="C206" s="6" t="s">
        <v>77</v>
      </c>
      <c r="D206" s="6" t="s">
        <v>562</v>
      </c>
      <c r="E206" s="6" t="s">
        <v>434</v>
      </c>
      <c r="F206" s="19">
        <v>25.855550000000001</v>
      </c>
    </row>
    <row r="207" spans="1:10" s="66" customFormat="1" ht="13.5" x14ac:dyDescent="0.25">
      <c r="A207" s="24" t="s">
        <v>175</v>
      </c>
      <c r="B207" s="6" t="s">
        <v>74</v>
      </c>
      <c r="C207" s="6" t="s">
        <v>77</v>
      </c>
      <c r="D207" s="6" t="s">
        <v>562</v>
      </c>
      <c r="E207" s="6" t="s">
        <v>128</v>
      </c>
      <c r="F207" s="19">
        <v>12425.109399999999</v>
      </c>
    </row>
    <row r="208" spans="1:10" ht="25.5" x14ac:dyDescent="0.2">
      <c r="A208" s="77" t="s">
        <v>457</v>
      </c>
      <c r="B208" s="69" t="s">
        <v>74</v>
      </c>
      <c r="C208" s="69" t="s">
        <v>77</v>
      </c>
      <c r="D208" s="69" t="s">
        <v>564</v>
      </c>
      <c r="E208" s="69"/>
      <c r="F208" s="92">
        <f>SUM(F209:F211)</f>
        <v>101748.88</v>
      </c>
      <c r="H208" s="12"/>
      <c r="I208" s="12"/>
      <c r="J208" s="12"/>
    </row>
    <row r="209" spans="1:10" ht="25.5" x14ac:dyDescent="0.2">
      <c r="A209" s="13" t="s">
        <v>123</v>
      </c>
      <c r="B209" s="70" t="s">
        <v>74</v>
      </c>
      <c r="C209" s="70" t="s">
        <v>77</v>
      </c>
      <c r="D209" s="70" t="s">
        <v>564</v>
      </c>
      <c r="E209" s="86" t="s">
        <v>124</v>
      </c>
      <c r="F209" s="82">
        <v>728.47</v>
      </c>
      <c r="H209" s="12"/>
      <c r="I209" s="12"/>
      <c r="J209" s="12"/>
    </row>
    <row r="210" spans="1:10" x14ac:dyDescent="0.2">
      <c r="A210" s="24" t="s">
        <v>175</v>
      </c>
      <c r="B210" s="70" t="s">
        <v>74</v>
      </c>
      <c r="C210" s="70" t="s">
        <v>77</v>
      </c>
      <c r="D210" s="70" t="s">
        <v>564</v>
      </c>
      <c r="E210" s="86" t="s">
        <v>128</v>
      </c>
      <c r="F210" s="82">
        <v>50000</v>
      </c>
    </row>
    <row r="211" spans="1:10" x14ac:dyDescent="0.2">
      <c r="A211" s="24" t="s">
        <v>445</v>
      </c>
      <c r="B211" s="70" t="s">
        <v>74</v>
      </c>
      <c r="C211" s="70" t="s">
        <v>77</v>
      </c>
      <c r="D211" s="70" t="s">
        <v>564</v>
      </c>
      <c r="E211" s="86" t="s">
        <v>145</v>
      </c>
      <c r="F211" s="82">
        <v>51020.41</v>
      </c>
    </row>
    <row r="212" spans="1:10" ht="63.75" x14ac:dyDescent="0.2">
      <c r="A212" s="21" t="s">
        <v>458</v>
      </c>
      <c r="B212" s="69" t="s">
        <v>74</v>
      </c>
      <c r="C212" s="69" t="s">
        <v>77</v>
      </c>
      <c r="D212" s="69" t="s">
        <v>565</v>
      </c>
      <c r="E212" s="86"/>
      <c r="F212" s="92">
        <f>F213</f>
        <v>381.95697999999999</v>
      </c>
    </row>
    <row r="213" spans="1:10" x14ac:dyDescent="0.2">
      <c r="A213" s="13" t="s">
        <v>445</v>
      </c>
      <c r="B213" s="70" t="s">
        <v>74</v>
      </c>
      <c r="C213" s="70" t="s">
        <v>77</v>
      </c>
      <c r="D213" s="70" t="s">
        <v>565</v>
      </c>
      <c r="E213" s="86" t="s">
        <v>145</v>
      </c>
      <c r="F213" s="82">
        <v>381.95697999999999</v>
      </c>
      <c r="G213" s="12"/>
    </row>
    <row r="214" spans="1:10" x14ac:dyDescent="0.2">
      <c r="A214" s="22" t="s">
        <v>114</v>
      </c>
      <c r="B214" s="8" t="s">
        <v>74</v>
      </c>
      <c r="C214" s="8" t="s">
        <v>92</v>
      </c>
      <c r="D214" s="8"/>
      <c r="E214" s="8"/>
      <c r="F214" s="50">
        <f>F215+F230+F243+F219</f>
        <v>2728.788</v>
      </c>
    </row>
    <row r="215" spans="1:10" s="40" customFormat="1" ht="38.25" x14ac:dyDescent="0.2">
      <c r="A215" s="62" t="s">
        <v>469</v>
      </c>
      <c r="B215" s="10" t="s">
        <v>74</v>
      </c>
      <c r="C215" s="10" t="s">
        <v>92</v>
      </c>
      <c r="D215" s="10" t="s">
        <v>471</v>
      </c>
      <c r="E215" s="10"/>
      <c r="F215" s="51">
        <f>F216</f>
        <v>600</v>
      </c>
    </row>
    <row r="216" spans="1:10" s="40" customFormat="1" ht="38.25" x14ac:dyDescent="0.2">
      <c r="A216" s="96" t="s">
        <v>576</v>
      </c>
      <c r="B216" s="4" t="s">
        <v>74</v>
      </c>
      <c r="C216" s="4" t="s">
        <v>92</v>
      </c>
      <c r="D216" s="4" t="s">
        <v>574</v>
      </c>
      <c r="E216" s="4"/>
      <c r="F216" s="5">
        <f>F217</f>
        <v>600</v>
      </c>
    </row>
    <row r="217" spans="1:10" s="40" customFormat="1" ht="38.25" x14ac:dyDescent="0.2">
      <c r="A217" s="104" t="s">
        <v>577</v>
      </c>
      <c r="B217" s="4" t="s">
        <v>74</v>
      </c>
      <c r="C217" s="4" t="s">
        <v>92</v>
      </c>
      <c r="D217" s="6" t="s">
        <v>575</v>
      </c>
      <c r="E217" s="4"/>
      <c r="F217" s="5">
        <f>F218</f>
        <v>600</v>
      </c>
    </row>
    <row r="218" spans="1:10" s="40" customFormat="1" x14ac:dyDescent="0.2">
      <c r="A218" s="13" t="s">
        <v>445</v>
      </c>
      <c r="B218" s="6" t="s">
        <v>74</v>
      </c>
      <c r="C218" s="6" t="s">
        <v>92</v>
      </c>
      <c r="D218" s="6" t="s">
        <v>575</v>
      </c>
      <c r="E218" s="6" t="s">
        <v>145</v>
      </c>
      <c r="F218" s="19">
        <v>600</v>
      </c>
    </row>
    <row r="219" spans="1:10" ht="51" x14ac:dyDescent="0.2">
      <c r="A219" s="38" t="s">
        <v>341</v>
      </c>
      <c r="B219" s="10" t="s">
        <v>74</v>
      </c>
      <c r="C219" s="10" t="s">
        <v>92</v>
      </c>
      <c r="D219" s="10" t="s">
        <v>204</v>
      </c>
      <c r="E219" s="10"/>
      <c r="F219" s="51">
        <f>F220+F226</f>
        <v>1083.9880000000001</v>
      </c>
    </row>
    <row r="220" spans="1:10" ht="40.5" x14ac:dyDescent="0.25">
      <c r="A220" s="64" t="s">
        <v>2</v>
      </c>
      <c r="B220" s="7" t="s">
        <v>74</v>
      </c>
      <c r="C220" s="7" t="s">
        <v>92</v>
      </c>
      <c r="D220" s="7" t="s">
        <v>205</v>
      </c>
      <c r="E220" s="7"/>
      <c r="F220" s="42">
        <f>F221</f>
        <v>636.98800000000006</v>
      </c>
    </row>
    <row r="221" spans="1:10" ht="38.25" x14ac:dyDescent="0.2">
      <c r="A221" s="29" t="s">
        <v>352</v>
      </c>
      <c r="B221" s="4" t="s">
        <v>74</v>
      </c>
      <c r="C221" s="4" t="s">
        <v>92</v>
      </c>
      <c r="D221" s="4" t="s">
        <v>38</v>
      </c>
      <c r="E221" s="4"/>
      <c r="F221" s="5">
        <f>F224+F222</f>
        <v>636.98800000000006</v>
      </c>
    </row>
    <row r="222" spans="1:10" ht="51" x14ac:dyDescent="0.2">
      <c r="A222" s="16" t="s">
        <v>335</v>
      </c>
      <c r="B222" s="6" t="s">
        <v>74</v>
      </c>
      <c r="C222" s="6" t="s">
        <v>92</v>
      </c>
      <c r="D222" s="4" t="s">
        <v>524</v>
      </c>
      <c r="E222" s="6"/>
      <c r="F222" s="92">
        <f>F223</f>
        <v>250</v>
      </c>
    </row>
    <row r="223" spans="1:10" ht="25.5" x14ac:dyDescent="0.2">
      <c r="A223" s="13" t="s">
        <v>123</v>
      </c>
      <c r="B223" s="6" t="s">
        <v>74</v>
      </c>
      <c r="C223" s="6" t="s">
        <v>92</v>
      </c>
      <c r="D223" s="6" t="s">
        <v>524</v>
      </c>
      <c r="E223" s="6" t="s">
        <v>124</v>
      </c>
      <c r="F223" s="82">
        <f>200+50</f>
        <v>250</v>
      </c>
    </row>
    <row r="224" spans="1:10" ht="25.5" x14ac:dyDescent="0.2">
      <c r="A224" s="16" t="s">
        <v>522</v>
      </c>
      <c r="B224" s="4" t="s">
        <v>74</v>
      </c>
      <c r="C224" s="4" t="s">
        <v>92</v>
      </c>
      <c r="D224" s="4" t="s">
        <v>523</v>
      </c>
      <c r="E224" s="4"/>
      <c r="F224" s="5">
        <f>F225</f>
        <v>386.988</v>
      </c>
    </row>
    <row r="225" spans="1:6" ht="25.5" x14ac:dyDescent="0.2">
      <c r="A225" s="13" t="s">
        <v>123</v>
      </c>
      <c r="B225" s="6" t="s">
        <v>74</v>
      </c>
      <c r="C225" s="6" t="s">
        <v>92</v>
      </c>
      <c r="D225" s="6" t="s">
        <v>523</v>
      </c>
      <c r="E225" s="86" t="s">
        <v>124</v>
      </c>
      <c r="F225" s="82">
        <v>386.988</v>
      </c>
    </row>
    <row r="226" spans="1:6" ht="25.5" x14ac:dyDescent="0.2">
      <c r="A226" s="62" t="s">
        <v>3</v>
      </c>
      <c r="B226" s="10" t="s">
        <v>74</v>
      </c>
      <c r="C226" s="10" t="s">
        <v>92</v>
      </c>
      <c r="D226" s="10" t="s">
        <v>293</v>
      </c>
      <c r="E226" s="10"/>
      <c r="F226" s="51">
        <f>F227</f>
        <v>447</v>
      </c>
    </row>
    <row r="227" spans="1:6" ht="76.5" x14ac:dyDescent="0.2">
      <c r="A227" s="23" t="s">
        <v>353</v>
      </c>
      <c r="B227" s="4" t="s">
        <v>74</v>
      </c>
      <c r="C227" s="4" t="s">
        <v>92</v>
      </c>
      <c r="D227" s="4" t="s">
        <v>294</v>
      </c>
      <c r="E227" s="4"/>
      <c r="F227" s="5">
        <f>F228</f>
        <v>447</v>
      </c>
    </row>
    <row r="228" spans="1:6" ht="25.5" x14ac:dyDescent="0.2">
      <c r="A228" s="23" t="s">
        <v>16</v>
      </c>
      <c r="B228" s="4" t="s">
        <v>74</v>
      </c>
      <c r="C228" s="4" t="s">
        <v>92</v>
      </c>
      <c r="D228" s="4" t="s">
        <v>443</v>
      </c>
      <c r="E228" s="4"/>
      <c r="F228" s="5">
        <f>F229</f>
        <v>447</v>
      </c>
    </row>
    <row r="229" spans="1:6" ht="25.5" x14ac:dyDescent="0.2">
      <c r="A229" s="13" t="s">
        <v>123</v>
      </c>
      <c r="B229" s="6" t="s">
        <v>74</v>
      </c>
      <c r="C229" s="6" t="s">
        <v>92</v>
      </c>
      <c r="D229" s="6" t="s">
        <v>443</v>
      </c>
      <c r="E229" s="6" t="s">
        <v>124</v>
      </c>
      <c r="F229" s="19">
        <f>100+347</f>
        <v>447</v>
      </c>
    </row>
    <row r="230" spans="1:6" ht="25.5" x14ac:dyDescent="0.2">
      <c r="A230" s="38" t="s">
        <v>336</v>
      </c>
      <c r="B230" s="10" t="s">
        <v>74</v>
      </c>
      <c r="C230" s="10" t="s">
        <v>92</v>
      </c>
      <c r="D230" s="11" t="s">
        <v>207</v>
      </c>
      <c r="E230" s="10"/>
      <c r="F230" s="51">
        <f>F231+F235+F239</f>
        <v>1041</v>
      </c>
    </row>
    <row r="231" spans="1:6" ht="27" x14ac:dyDescent="0.25">
      <c r="A231" s="64" t="s">
        <v>401</v>
      </c>
      <c r="B231" s="7" t="s">
        <v>74</v>
      </c>
      <c r="C231" s="7" t="s">
        <v>92</v>
      </c>
      <c r="D231" s="7" t="s">
        <v>302</v>
      </c>
      <c r="E231" s="7"/>
      <c r="F231" s="42">
        <f>F232</f>
        <v>30</v>
      </c>
    </row>
    <row r="232" spans="1:6" s="39" customFormat="1" ht="25.5" x14ac:dyDescent="0.2">
      <c r="A232" s="15" t="s">
        <v>303</v>
      </c>
      <c r="B232" s="4" t="s">
        <v>74</v>
      </c>
      <c r="C232" s="4" t="s">
        <v>92</v>
      </c>
      <c r="D232" s="4" t="s">
        <v>304</v>
      </c>
      <c r="E232" s="4"/>
      <c r="F232" s="5">
        <f>F233</f>
        <v>30</v>
      </c>
    </row>
    <row r="233" spans="1:6" ht="38.25" x14ac:dyDescent="0.2">
      <c r="A233" s="13" t="s">
        <v>305</v>
      </c>
      <c r="B233" s="6" t="s">
        <v>74</v>
      </c>
      <c r="C233" s="6" t="s">
        <v>92</v>
      </c>
      <c r="D233" s="6" t="s">
        <v>306</v>
      </c>
      <c r="E233" s="6"/>
      <c r="F233" s="19">
        <f>F234</f>
        <v>30</v>
      </c>
    </row>
    <row r="234" spans="1:6" s="39" customFormat="1" ht="25.5" x14ac:dyDescent="0.2">
      <c r="A234" s="13" t="s">
        <v>123</v>
      </c>
      <c r="B234" s="6" t="s">
        <v>74</v>
      </c>
      <c r="C234" s="6" t="s">
        <v>92</v>
      </c>
      <c r="D234" s="6" t="s">
        <v>306</v>
      </c>
      <c r="E234" s="6" t="s">
        <v>124</v>
      </c>
      <c r="F234" s="19">
        <v>30</v>
      </c>
    </row>
    <row r="235" spans="1:6" ht="40.5" x14ac:dyDescent="0.25">
      <c r="A235" s="63" t="s">
        <v>402</v>
      </c>
      <c r="B235" s="7" t="s">
        <v>74</v>
      </c>
      <c r="C235" s="7" t="s">
        <v>92</v>
      </c>
      <c r="D235" s="7" t="s">
        <v>208</v>
      </c>
      <c r="E235" s="7"/>
      <c r="F235" s="42">
        <f>F236</f>
        <v>830</v>
      </c>
    </row>
    <row r="236" spans="1:6" ht="38.25" x14ac:dyDescent="0.2">
      <c r="A236" s="27" t="s">
        <v>276</v>
      </c>
      <c r="B236" s="4" t="s">
        <v>74</v>
      </c>
      <c r="C236" s="4" t="s">
        <v>92</v>
      </c>
      <c r="D236" s="4" t="s">
        <v>277</v>
      </c>
      <c r="E236" s="4"/>
      <c r="F236" s="92">
        <f>F237</f>
        <v>830</v>
      </c>
    </row>
    <row r="237" spans="1:6" ht="25.5" x14ac:dyDescent="0.2">
      <c r="A237" s="28" t="s">
        <v>295</v>
      </c>
      <c r="B237" s="4" t="s">
        <v>74</v>
      </c>
      <c r="C237" s="4" t="s">
        <v>92</v>
      </c>
      <c r="D237" s="4" t="s">
        <v>296</v>
      </c>
      <c r="E237" s="4"/>
      <c r="F237" s="5">
        <f>F238</f>
        <v>830</v>
      </c>
    </row>
    <row r="238" spans="1:6" ht="25.5" x14ac:dyDescent="0.2">
      <c r="A238" s="34" t="s">
        <v>123</v>
      </c>
      <c r="B238" s="6" t="s">
        <v>74</v>
      </c>
      <c r="C238" s="6" t="s">
        <v>92</v>
      </c>
      <c r="D238" s="6" t="s">
        <v>296</v>
      </c>
      <c r="E238" s="6" t="s">
        <v>124</v>
      </c>
      <c r="F238" s="82">
        <f>400+430</f>
        <v>830</v>
      </c>
    </row>
    <row r="239" spans="1:6" ht="27" x14ac:dyDescent="0.25">
      <c r="A239" s="63" t="s">
        <v>403</v>
      </c>
      <c r="B239" s="7" t="s">
        <v>74</v>
      </c>
      <c r="C239" s="7" t="s">
        <v>92</v>
      </c>
      <c r="D239" s="7" t="s">
        <v>51</v>
      </c>
      <c r="E239" s="7"/>
      <c r="F239" s="42">
        <f>F240</f>
        <v>181</v>
      </c>
    </row>
    <row r="240" spans="1:6" ht="25.5" x14ac:dyDescent="0.2">
      <c r="A240" s="27" t="s">
        <v>49</v>
      </c>
      <c r="B240" s="4" t="s">
        <v>74</v>
      </c>
      <c r="C240" s="4" t="s">
        <v>92</v>
      </c>
      <c r="D240" s="4" t="s">
        <v>52</v>
      </c>
      <c r="E240" s="4"/>
      <c r="F240" s="5">
        <f>F241</f>
        <v>181</v>
      </c>
    </row>
    <row r="241" spans="1:6" ht="15.75" customHeight="1" x14ac:dyDescent="0.2">
      <c r="A241" s="28" t="s">
        <v>50</v>
      </c>
      <c r="B241" s="4" t="s">
        <v>74</v>
      </c>
      <c r="C241" s="4" t="s">
        <v>92</v>
      </c>
      <c r="D241" s="4" t="s">
        <v>53</v>
      </c>
      <c r="E241" s="4"/>
      <c r="F241" s="5">
        <f>F242</f>
        <v>181</v>
      </c>
    </row>
    <row r="242" spans="1:6" ht="25.5" x14ac:dyDescent="0.2">
      <c r="A242" s="34" t="s">
        <v>123</v>
      </c>
      <c r="B242" s="6" t="s">
        <v>74</v>
      </c>
      <c r="C242" s="6" t="s">
        <v>92</v>
      </c>
      <c r="D242" s="6" t="s">
        <v>54</v>
      </c>
      <c r="E242" s="6" t="s">
        <v>124</v>
      </c>
      <c r="F242" s="82">
        <v>181</v>
      </c>
    </row>
    <row r="243" spans="1:6" s="39" customFormat="1" x14ac:dyDescent="0.2">
      <c r="A243" s="38" t="s">
        <v>163</v>
      </c>
      <c r="B243" s="10" t="s">
        <v>74</v>
      </c>
      <c r="C243" s="10" t="s">
        <v>92</v>
      </c>
      <c r="D243" s="10" t="s">
        <v>184</v>
      </c>
      <c r="E243" s="10"/>
      <c r="F243" s="51">
        <f>F244</f>
        <v>3.8</v>
      </c>
    </row>
    <row r="244" spans="1:6" ht="63.75" x14ac:dyDescent="0.2">
      <c r="A244" s="23" t="s">
        <v>118</v>
      </c>
      <c r="B244" s="4" t="s">
        <v>74</v>
      </c>
      <c r="C244" s="4" t="s">
        <v>92</v>
      </c>
      <c r="D244" s="4" t="s">
        <v>211</v>
      </c>
      <c r="E244" s="4"/>
      <c r="F244" s="92">
        <f>F245</f>
        <v>3.8</v>
      </c>
    </row>
    <row r="245" spans="1:6" ht="25.5" x14ac:dyDescent="0.2">
      <c r="A245" s="34" t="s">
        <v>123</v>
      </c>
      <c r="B245" s="6" t="s">
        <v>74</v>
      </c>
      <c r="C245" s="6" t="s">
        <v>92</v>
      </c>
      <c r="D245" s="6" t="s">
        <v>211</v>
      </c>
      <c r="E245" s="6" t="s">
        <v>124</v>
      </c>
      <c r="F245" s="82">
        <v>3.8</v>
      </c>
    </row>
    <row r="246" spans="1:6" s="39" customFormat="1" x14ac:dyDescent="0.2">
      <c r="A246" s="32" t="s">
        <v>142</v>
      </c>
      <c r="B246" s="9" t="s">
        <v>76</v>
      </c>
      <c r="C246" s="9"/>
      <c r="D246" s="9"/>
      <c r="E246" s="9"/>
      <c r="F246" s="49">
        <f>F247+F251+F267+F287</f>
        <v>902891.62688999996</v>
      </c>
    </row>
    <row r="247" spans="1:6" s="39" customFormat="1" x14ac:dyDescent="0.2">
      <c r="A247" s="26" t="s">
        <v>578</v>
      </c>
      <c r="B247" s="8" t="s">
        <v>76</v>
      </c>
      <c r="C247" s="8" t="s">
        <v>72</v>
      </c>
      <c r="D247" s="8"/>
      <c r="E247" s="8"/>
      <c r="F247" s="50">
        <f>F248</f>
        <v>185338.0704</v>
      </c>
    </row>
    <row r="248" spans="1:6" s="39" customFormat="1" x14ac:dyDescent="0.2">
      <c r="A248" s="17" t="s">
        <v>163</v>
      </c>
      <c r="B248" s="10" t="s">
        <v>76</v>
      </c>
      <c r="C248" s="10" t="s">
        <v>72</v>
      </c>
      <c r="D248" s="10" t="s">
        <v>184</v>
      </c>
      <c r="E248" s="10"/>
      <c r="F248" s="51">
        <f>F249</f>
        <v>185338.0704</v>
      </c>
    </row>
    <row r="249" spans="1:6" s="39" customFormat="1" ht="89.25" x14ac:dyDescent="0.2">
      <c r="A249" s="116" t="s">
        <v>579</v>
      </c>
      <c r="B249" s="4" t="s">
        <v>76</v>
      </c>
      <c r="C249" s="4" t="s">
        <v>72</v>
      </c>
      <c r="D249" s="4" t="s">
        <v>580</v>
      </c>
      <c r="E249" s="4"/>
      <c r="F249" s="5">
        <f>F250</f>
        <v>185338.0704</v>
      </c>
    </row>
    <row r="250" spans="1:6" s="39" customFormat="1" x14ac:dyDescent="0.2">
      <c r="A250" s="24" t="s">
        <v>175</v>
      </c>
      <c r="B250" s="6" t="s">
        <v>76</v>
      </c>
      <c r="C250" s="6" t="s">
        <v>72</v>
      </c>
      <c r="D250" s="6" t="s">
        <v>580</v>
      </c>
      <c r="E250" s="86" t="s">
        <v>128</v>
      </c>
      <c r="F250" s="19">
        <v>185338.0704</v>
      </c>
    </row>
    <row r="251" spans="1:6" x14ac:dyDescent="0.2">
      <c r="A251" s="26" t="s">
        <v>98</v>
      </c>
      <c r="B251" s="8" t="s">
        <v>76</v>
      </c>
      <c r="C251" s="8" t="s">
        <v>73</v>
      </c>
      <c r="D251" s="8"/>
      <c r="E251" s="8"/>
      <c r="F251" s="50">
        <f>F262+F258+F252</f>
        <v>117496.2504</v>
      </c>
    </row>
    <row r="252" spans="1:6" s="39" customFormat="1" ht="38.25" x14ac:dyDescent="0.2">
      <c r="A252" s="38" t="s">
        <v>343</v>
      </c>
      <c r="B252" s="10" t="s">
        <v>74</v>
      </c>
      <c r="C252" s="10" t="s">
        <v>76</v>
      </c>
      <c r="D252" s="10" t="s">
        <v>44</v>
      </c>
      <c r="E252" s="10"/>
      <c r="F252" s="51">
        <f>F253</f>
        <v>102662.32</v>
      </c>
    </row>
    <row r="253" spans="1:6" s="39" customFormat="1" ht="51" x14ac:dyDescent="0.2">
      <c r="A253" s="15" t="s">
        <v>535</v>
      </c>
      <c r="B253" s="4" t="s">
        <v>74</v>
      </c>
      <c r="C253" s="4" t="s">
        <v>76</v>
      </c>
      <c r="D253" s="4" t="s">
        <v>530</v>
      </c>
      <c r="E253" s="4"/>
      <c r="F253" s="5">
        <f>F254</f>
        <v>102662.32</v>
      </c>
    </row>
    <row r="254" spans="1:6" s="39" customFormat="1" ht="38.25" x14ac:dyDescent="0.2">
      <c r="A254" s="15" t="s">
        <v>533</v>
      </c>
      <c r="B254" s="4" t="s">
        <v>74</v>
      </c>
      <c r="C254" s="4" t="s">
        <v>76</v>
      </c>
      <c r="D254" s="4" t="s">
        <v>532</v>
      </c>
      <c r="E254" s="4"/>
      <c r="F254" s="5">
        <f>F255</f>
        <v>102662.32</v>
      </c>
    </row>
    <row r="255" spans="1:6" s="39" customFormat="1" x14ac:dyDescent="0.2">
      <c r="A255" s="15" t="s">
        <v>484</v>
      </c>
      <c r="B255" s="4" t="s">
        <v>74</v>
      </c>
      <c r="C255" s="4" t="s">
        <v>76</v>
      </c>
      <c r="D255" s="4" t="s">
        <v>534</v>
      </c>
      <c r="E255" s="4"/>
      <c r="F255" s="5">
        <f>SUM(F256:F257)</f>
        <v>102662.32</v>
      </c>
    </row>
    <row r="256" spans="1:6" s="39" customFormat="1" x14ac:dyDescent="0.2">
      <c r="A256" s="34" t="s">
        <v>175</v>
      </c>
      <c r="B256" s="6" t="s">
        <v>74</v>
      </c>
      <c r="C256" s="6" t="s">
        <v>76</v>
      </c>
      <c r="D256" s="6" t="s">
        <v>534</v>
      </c>
      <c r="E256" s="6" t="s">
        <v>128</v>
      </c>
      <c r="F256" s="19">
        <v>51127.32</v>
      </c>
    </row>
    <row r="257" spans="1:6" s="39" customFormat="1" x14ac:dyDescent="0.2">
      <c r="A257" s="24" t="s">
        <v>445</v>
      </c>
      <c r="B257" s="6" t="s">
        <v>74</v>
      </c>
      <c r="C257" s="6" t="s">
        <v>76</v>
      </c>
      <c r="D257" s="6" t="s">
        <v>534</v>
      </c>
      <c r="E257" s="6" t="s">
        <v>145</v>
      </c>
      <c r="F257" s="19">
        <v>51535</v>
      </c>
    </row>
    <row r="258" spans="1:6" ht="25.5" x14ac:dyDescent="0.2">
      <c r="A258" s="68" t="s">
        <v>354</v>
      </c>
      <c r="B258" s="10" t="s">
        <v>76</v>
      </c>
      <c r="C258" s="10" t="s">
        <v>73</v>
      </c>
      <c r="D258" s="10" t="s">
        <v>355</v>
      </c>
      <c r="E258" s="10"/>
      <c r="F258" s="51">
        <f>F259</f>
        <v>700.32</v>
      </c>
    </row>
    <row r="259" spans="1:6" ht="25.5" x14ac:dyDescent="0.2">
      <c r="A259" s="75" t="s">
        <v>357</v>
      </c>
      <c r="B259" s="4" t="s">
        <v>76</v>
      </c>
      <c r="C259" s="4" t="s">
        <v>73</v>
      </c>
      <c r="D259" s="4" t="s">
        <v>383</v>
      </c>
      <c r="E259" s="4"/>
      <c r="F259" s="5">
        <f>F260</f>
        <v>700.32</v>
      </c>
    </row>
    <row r="260" spans="1:6" ht="51" x14ac:dyDescent="0.2">
      <c r="A260" s="104" t="s">
        <v>474</v>
      </c>
      <c r="B260" s="4" t="s">
        <v>76</v>
      </c>
      <c r="C260" s="4" t="s">
        <v>73</v>
      </c>
      <c r="D260" s="4" t="s">
        <v>581</v>
      </c>
      <c r="E260" s="4"/>
      <c r="F260" s="5">
        <f>F261</f>
        <v>700.32</v>
      </c>
    </row>
    <row r="261" spans="1:6" ht="38.25" x14ac:dyDescent="0.2">
      <c r="A261" s="34" t="s">
        <v>504</v>
      </c>
      <c r="B261" s="6" t="s">
        <v>76</v>
      </c>
      <c r="C261" s="6" t="s">
        <v>73</v>
      </c>
      <c r="D261" s="4" t="s">
        <v>581</v>
      </c>
      <c r="E261" s="6" t="s">
        <v>505</v>
      </c>
      <c r="F261" s="19">
        <f>700.32</f>
        <v>700.32</v>
      </c>
    </row>
    <row r="262" spans="1:6" s="39" customFormat="1" x14ac:dyDescent="0.2">
      <c r="A262" s="17" t="s">
        <v>163</v>
      </c>
      <c r="B262" s="10" t="s">
        <v>76</v>
      </c>
      <c r="C262" s="10" t="s">
        <v>73</v>
      </c>
      <c r="D262" s="10" t="s">
        <v>184</v>
      </c>
      <c r="E262" s="10"/>
      <c r="F262" s="51">
        <f>F265+F263</f>
        <v>14133.6104</v>
      </c>
    </row>
    <row r="263" spans="1:6" s="39" customFormat="1" ht="63.75" x14ac:dyDescent="0.2">
      <c r="A263" s="15" t="s">
        <v>461</v>
      </c>
      <c r="B263" s="4" t="s">
        <v>76</v>
      </c>
      <c r="C263" s="4" t="s">
        <v>73</v>
      </c>
      <c r="D263" s="4" t="s">
        <v>462</v>
      </c>
      <c r="E263" s="4"/>
      <c r="F263" s="92">
        <f>SUM(F264:F264)</f>
        <v>13510.0304</v>
      </c>
    </row>
    <row r="264" spans="1:6" s="39" customFormat="1" x14ac:dyDescent="0.2">
      <c r="A264" s="34" t="s">
        <v>175</v>
      </c>
      <c r="B264" s="6" t="s">
        <v>76</v>
      </c>
      <c r="C264" s="6" t="s">
        <v>73</v>
      </c>
      <c r="D264" s="6" t="s">
        <v>462</v>
      </c>
      <c r="E264" s="6" t="s">
        <v>128</v>
      </c>
      <c r="F264" s="82">
        <v>13510.0304</v>
      </c>
    </row>
    <row r="265" spans="1:6" s="39" customFormat="1" ht="25.5" x14ac:dyDescent="0.2">
      <c r="A265" s="104" t="s">
        <v>172</v>
      </c>
      <c r="B265" s="88" t="s">
        <v>76</v>
      </c>
      <c r="C265" s="88" t="s">
        <v>73</v>
      </c>
      <c r="D265" s="88" t="s">
        <v>495</v>
      </c>
      <c r="E265" s="88"/>
      <c r="F265" s="92">
        <f>SUM(F266:F266)</f>
        <v>623.58000000000004</v>
      </c>
    </row>
    <row r="266" spans="1:6" s="39" customFormat="1" ht="25.5" x14ac:dyDescent="0.2">
      <c r="A266" s="34" t="s">
        <v>123</v>
      </c>
      <c r="B266" s="86" t="s">
        <v>76</v>
      </c>
      <c r="C266" s="86" t="s">
        <v>73</v>
      </c>
      <c r="D266" s="86" t="s">
        <v>495</v>
      </c>
      <c r="E266" s="86" t="s">
        <v>124</v>
      </c>
      <c r="F266" s="82">
        <v>623.58000000000004</v>
      </c>
    </row>
    <row r="267" spans="1:6" x14ac:dyDescent="0.2">
      <c r="A267" s="26" t="s">
        <v>61</v>
      </c>
      <c r="B267" s="8" t="s">
        <v>76</v>
      </c>
      <c r="C267" s="8" t="s">
        <v>86</v>
      </c>
      <c r="D267" s="8"/>
      <c r="E267" s="8"/>
      <c r="F267" s="50">
        <f>F268+F273+F280</f>
        <v>99978.696089999998</v>
      </c>
    </row>
    <row r="268" spans="1:6" ht="38.25" x14ac:dyDescent="0.2">
      <c r="A268" s="62" t="s">
        <v>387</v>
      </c>
      <c r="B268" s="10" t="s">
        <v>76</v>
      </c>
      <c r="C268" s="10" t="s">
        <v>86</v>
      </c>
      <c r="D268" s="10" t="s">
        <v>338</v>
      </c>
      <c r="E268" s="10"/>
      <c r="F268" s="51">
        <f>F269</f>
        <v>30308.14446</v>
      </c>
    </row>
    <row r="269" spans="1:6" ht="25.5" x14ac:dyDescent="0.2">
      <c r="A269" s="23" t="s">
        <v>339</v>
      </c>
      <c r="B269" s="4" t="s">
        <v>76</v>
      </c>
      <c r="C269" s="4" t="s">
        <v>86</v>
      </c>
      <c r="D269" s="4" t="s">
        <v>356</v>
      </c>
      <c r="E269" s="15"/>
      <c r="F269" s="19">
        <f>F270</f>
        <v>30308.14446</v>
      </c>
    </row>
    <row r="270" spans="1:6" ht="38.25" x14ac:dyDescent="0.2">
      <c r="A270" s="23" t="s">
        <v>384</v>
      </c>
      <c r="B270" s="4" t="s">
        <v>76</v>
      </c>
      <c r="C270" s="4" t="s">
        <v>86</v>
      </c>
      <c r="D270" s="4" t="s">
        <v>399</v>
      </c>
      <c r="E270" s="15"/>
      <c r="F270" s="92">
        <f>SUM(F271:F272)</f>
        <v>30308.14446</v>
      </c>
    </row>
    <row r="271" spans="1:6" x14ac:dyDescent="0.2">
      <c r="A271" s="89" t="s">
        <v>175</v>
      </c>
      <c r="B271" s="6" t="s">
        <v>76</v>
      </c>
      <c r="C271" s="6" t="s">
        <v>86</v>
      </c>
      <c r="D271" s="6" t="s">
        <v>399</v>
      </c>
      <c r="E271" s="6" t="s">
        <v>128</v>
      </c>
      <c r="F271" s="82">
        <f>14836.15464+302.77866+15.13893</f>
        <v>15154.07223</v>
      </c>
    </row>
    <row r="272" spans="1:6" x14ac:dyDescent="0.2">
      <c r="A272" s="34" t="s">
        <v>445</v>
      </c>
      <c r="B272" s="6" t="s">
        <v>76</v>
      </c>
      <c r="C272" s="6" t="s">
        <v>86</v>
      </c>
      <c r="D272" s="6" t="s">
        <v>399</v>
      </c>
      <c r="E272" s="6" t="s">
        <v>145</v>
      </c>
      <c r="F272" s="82">
        <v>15154.07223</v>
      </c>
    </row>
    <row r="273" spans="1:6" ht="38.25" x14ac:dyDescent="0.2">
      <c r="A273" s="38" t="s">
        <v>571</v>
      </c>
      <c r="B273" s="10" t="s">
        <v>76</v>
      </c>
      <c r="C273" s="10" t="s">
        <v>86</v>
      </c>
      <c r="D273" s="10" t="s">
        <v>568</v>
      </c>
      <c r="E273" s="10"/>
      <c r="F273" s="51">
        <f>F274+F277</f>
        <v>15045.95651</v>
      </c>
    </row>
    <row r="274" spans="1:6" ht="25.5" x14ac:dyDescent="0.2">
      <c r="A274" s="15" t="s">
        <v>583</v>
      </c>
      <c r="B274" s="4" t="s">
        <v>76</v>
      </c>
      <c r="C274" s="4" t="s">
        <v>86</v>
      </c>
      <c r="D274" s="4" t="s">
        <v>582</v>
      </c>
      <c r="E274" s="4"/>
      <c r="F274" s="92">
        <f>F275</f>
        <v>14945.95651</v>
      </c>
    </row>
    <row r="275" spans="1:6" ht="25.5" x14ac:dyDescent="0.2">
      <c r="A275" s="16" t="s">
        <v>172</v>
      </c>
      <c r="B275" s="4" t="s">
        <v>76</v>
      </c>
      <c r="C275" s="4" t="s">
        <v>86</v>
      </c>
      <c r="D275" s="4" t="s">
        <v>584</v>
      </c>
      <c r="E275" s="4"/>
      <c r="F275" s="92">
        <f>F276</f>
        <v>14945.95651</v>
      </c>
    </row>
    <row r="276" spans="1:6" x14ac:dyDescent="0.2">
      <c r="A276" s="34" t="s">
        <v>175</v>
      </c>
      <c r="B276" s="6" t="s">
        <v>76</v>
      </c>
      <c r="C276" s="6" t="s">
        <v>86</v>
      </c>
      <c r="D276" s="6" t="s">
        <v>584</v>
      </c>
      <c r="E276" s="6" t="s">
        <v>128</v>
      </c>
      <c r="F276" s="82">
        <v>14945.95651</v>
      </c>
    </row>
    <row r="277" spans="1:6" ht="25.5" x14ac:dyDescent="0.2">
      <c r="A277" s="15" t="s">
        <v>587</v>
      </c>
      <c r="B277" s="4" t="s">
        <v>76</v>
      </c>
      <c r="C277" s="4" t="s">
        <v>86</v>
      </c>
      <c r="D277" s="4" t="s">
        <v>585</v>
      </c>
      <c r="E277" s="4"/>
      <c r="F277" s="92">
        <f>F278</f>
        <v>100</v>
      </c>
    </row>
    <row r="278" spans="1:6" ht="25.5" x14ac:dyDescent="0.2">
      <c r="A278" s="16" t="s">
        <v>172</v>
      </c>
      <c r="B278" s="4" t="s">
        <v>76</v>
      </c>
      <c r="C278" s="4" t="s">
        <v>86</v>
      </c>
      <c r="D278" s="4" t="s">
        <v>586</v>
      </c>
      <c r="E278" s="4"/>
      <c r="F278" s="92">
        <f>F279</f>
        <v>100</v>
      </c>
    </row>
    <row r="279" spans="1:6" x14ac:dyDescent="0.2">
      <c r="A279" s="34" t="s">
        <v>175</v>
      </c>
      <c r="B279" s="6" t="s">
        <v>76</v>
      </c>
      <c r="C279" s="6" t="s">
        <v>86</v>
      </c>
      <c r="D279" s="6" t="s">
        <v>586</v>
      </c>
      <c r="E279" s="6" t="s">
        <v>128</v>
      </c>
      <c r="F279" s="82">
        <v>100</v>
      </c>
    </row>
    <row r="280" spans="1:6" x14ac:dyDescent="0.2">
      <c r="A280" s="38" t="s">
        <v>163</v>
      </c>
      <c r="B280" s="10" t="s">
        <v>76</v>
      </c>
      <c r="C280" s="10" t="s">
        <v>86</v>
      </c>
      <c r="D280" s="10" t="s">
        <v>184</v>
      </c>
      <c r="E280" s="10"/>
      <c r="F280" s="51">
        <f>F281+F284</f>
        <v>54624.595119999998</v>
      </c>
    </row>
    <row r="281" spans="1:6" ht="51" x14ac:dyDescent="0.2">
      <c r="A281" s="15" t="s">
        <v>589</v>
      </c>
      <c r="B281" s="4" t="s">
        <v>76</v>
      </c>
      <c r="C281" s="4" t="s">
        <v>86</v>
      </c>
      <c r="D281" s="4" t="s">
        <v>588</v>
      </c>
      <c r="E281" s="4"/>
      <c r="F281" s="92">
        <f>SUM(F282:F283)</f>
        <v>54078.400000000001</v>
      </c>
    </row>
    <row r="282" spans="1:6" x14ac:dyDescent="0.2">
      <c r="A282" s="89" t="s">
        <v>175</v>
      </c>
      <c r="B282" s="6" t="s">
        <v>76</v>
      </c>
      <c r="C282" s="6" t="s">
        <v>86</v>
      </c>
      <c r="D282" s="6" t="s">
        <v>588</v>
      </c>
      <c r="E282" s="6" t="s">
        <v>128</v>
      </c>
      <c r="F282" s="82">
        <v>27039.200000000001</v>
      </c>
    </row>
    <row r="283" spans="1:6" x14ac:dyDescent="0.2">
      <c r="A283" s="34" t="s">
        <v>445</v>
      </c>
      <c r="B283" s="6" t="s">
        <v>76</v>
      </c>
      <c r="C283" s="6" t="s">
        <v>86</v>
      </c>
      <c r="D283" s="6" t="s">
        <v>588</v>
      </c>
      <c r="E283" s="6" t="s">
        <v>145</v>
      </c>
      <c r="F283" s="82">
        <v>27039.200000000001</v>
      </c>
    </row>
    <row r="284" spans="1:6" ht="51" x14ac:dyDescent="0.2">
      <c r="A284" s="15" t="s">
        <v>589</v>
      </c>
      <c r="B284" s="4" t="s">
        <v>76</v>
      </c>
      <c r="C284" s="4" t="s">
        <v>86</v>
      </c>
      <c r="D284" s="4" t="s">
        <v>590</v>
      </c>
      <c r="E284" s="4"/>
      <c r="F284" s="92">
        <f>SUM(F285:F286)</f>
        <v>546.19511999999997</v>
      </c>
    </row>
    <row r="285" spans="1:6" x14ac:dyDescent="0.2">
      <c r="A285" s="89" t="s">
        <v>175</v>
      </c>
      <c r="B285" s="6" t="s">
        <v>76</v>
      </c>
      <c r="C285" s="6" t="s">
        <v>86</v>
      </c>
      <c r="D285" s="6" t="s">
        <v>590</v>
      </c>
      <c r="E285" s="6" t="s">
        <v>128</v>
      </c>
      <c r="F285" s="82">
        <v>273.09755999999999</v>
      </c>
    </row>
    <row r="286" spans="1:6" x14ac:dyDescent="0.2">
      <c r="A286" s="34" t="s">
        <v>445</v>
      </c>
      <c r="B286" s="6" t="s">
        <v>76</v>
      </c>
      <c r="C286" s="6" t="s">
        <v>86</v>
      </c>
      <c r="D286" s="6" t="s">
        <v>590</v>
      </c>
      <c r="E286" s="6" t="s">
        <v>145</v>
      </c>
      <c r="F286" s="82">
        <v>273.09755999999999</v>
      </c>
    </row>
    <row r="287" spans="1:6" ht="25.5" x14ac:dyDescent="0.2">
      <c r="A287" s="26" t="s">
        <v>463</v>
      </c>
      <c r="B287" s="8" t="s">
        <v>76</v>
      </c>
      <c r="C287" s="8" t="s">
        <v>76</v>
      </c>
      <c r="D287" s="8"/>
      <c r="E287" s="8"/>
      <c r="F287" s="50">
        <f>F288+F291</f>
        <v>500078.61</v>
      </c>
    </row>
    <row r="288" spans="1:6" ht="25.5" x14ac:dyDescent="0.2">
      <c r="A288" s="38" t="s">
        <v>354</v>
      </c>
      <c r="B288" s="10" t="s">
        <v>76</v>
      </c>
      <c r="C288" s="10" t="s">
        <v>76</v>
      </c>
      <c r="D288" s="10" t="s">
        <v>591</v>
      </c>
      <c r="E288" s="10"/>
      <c r="F288" s="51">
        <f>F289</f>
        <v>330078.61</v>
      </c>
    </row>
    <row r="289" spans="1:6" ht="25.5" x14ac:dyDescent="0.2">
      <c r="A289" s="15" t="s">
        <v>592</v>
      </c>
      <c r="B289" s="4" t="s">
        <v>76</v>
      </c>
      <c r="C289" s="4" t="s">
        <v>76</v>
      </c>
      <c r="D289" s="4" t="s">
        <v>591</v>
      </c>
      <c r="E289" s="4"/>
      <c r="F289" s="92">
        <f>F290</f>
        <v>330078.61</v>
      </c>
    </row>
    <row r="290" spans="1:6" ht="38.25" x14ac:dyDescent="0.2">
      <c r="A290" s="110" t="s">
        <v>504</v>
      </c>
      <c r="B290" s="6" t="s">
        <v>76</v>
      </c>
      <c r="C290" s="6" t="s">
        <v>76</v>
      </c>
      <c r="D290" s="6" t="s">
        <v>591</v>
      </c>
      <c r="E290" s="6" t="s">
        <v>505</v>
      </c>
      <c r="F290" s="82">
        <v>330078.61</v>
      </c>
    </row>
    <row r="291" spans="1:6" x14ac:dyDescent="0.2">
      <c r="A291" s="38" t="s">
        <v>163</v>
      </c>
      <c r="B291" s="10" t="s">
        <v>76</v>
      </c>
      <c r="C291" s="10" t="s">
        <v>76</v>
      </c>
      <c r="D291" s="10" t="s">
        <v>184</v>
      </c>
      <c r="E291" s="10"/>
      <c r="F291" s="51">
        <f>F292</f>
        <v>170000</v>
      </c>
    </row>
    <row r="292" spans="1:6" ht="51" x14ac:dyDescent="0.2">
      <c r="A292" s="15" t="s">
        <v>486</v>
      </c>
      <c r="B292" s="4" t="s">
        <v>76</v>
      </c>
      <c r="C292" s="4" t="s">
        <v>76</v>
      </c>
      <c r="D292" s="4" t="s">
        <v>485</v>
      </c>
      <c r="E292" s="4"/>
      <c r="F292" s="92">
        <f>SUM(F293:F294)</f>
        <v>170000</v>
      </c>
    </row>
    <row r="293" spans="1:6" x14ac:dyDescent="0.2">
      <c r="A293" s="89" t="s">
        <v>175</v>
      </c>
      <c r="B293" s="6" t="s">
        <v>76</v>
      </c>
      <c r="C293" s="6" t="s">
        <v>76</v>
      </c>
      <c r="D293" s="6" t="s">
        <v>485</v>
      </c>
      <c r="E293" s="6" t="s">
        <v>128</v>
      </c>
      <c r="F293" s="82">
        <f>85000</f>
        <v>85000</v>
      </c>
    </row>
    <row r="294" spans="1:6" x14ac:dyDescent="0.2">
      <c r="A294" s="34" t="s">
        <v>445</v>
      </c>
      <c r="B294" s="6" t="s">
        <v>76</v>
      </c>
      <c r="C294" s="6" t="s">
        <v>76</v>
      </c>
      <c r="D294" s="6" t="s">
        <v>485</v>
      </c>
      <c r="E294" s="6" t="s">
        <v>145</v>
      </c>
      <c r="F294" s="82">
        <v>85000</v>
      </c>
    </row>
    <row r="295" spans="1:6" x14ac:dyDescent="0.2">
      <c r="A295" s="20" t="s">
        <v>130</v>
      </c>
      <c r="B295" s="9" t="s">
        <v>75</v>
      </c>
      <c r="C295" s="9"/>
      <c r="D295" s="9"/>
      <c r="E295" s="9"/>
      <c r="F295" s="53">
        <f>F296+F308+F343+F387+F407+F381</f>
        <v>1108319.7030199999</v>
      </c>
    </row>
    <row r="296" spans="1:6" x14ac:dyDescent="0.2">
      <c r="A296" s="26" t="s">
        <v>66</v>
      </c>
      <c r="B296" s="8" t="s">
        <v>75</v>
      </c>
      <c r="C296" s="8" t="s">
        <v>72</v>
      </c>
      <c r="D296" s="8"/>
      <c r="E296" s="8"/>
      <c r="F296" s="50">
        <f>F297</f>
        <v>238454.81886999999</v>
      </c>
    </row>
    <row r="297" spans="1:6" ht="25.5" x14ac:dyDescent="0.2">
      <c r="A297" s="33" t="s">
        <v>24</v>
      </c>
      <c r="B297" s="10" t="s">
        <v>75</v>
      </c>
      <c r="C297" s="10" t="s">
        <v>72</v>
      </c>
      <c r="D297" s="10" t="s">
        <v>243</v>
      </c>
      <c r="E297" s="10"/>
      <c r="F297" s="51">
        <f>F298</f>
        <v>238454.81886999999</v>
      </c>
    </row>
    <row r="298" spans="1:6" s="39" customFormat="1" ht="27" x14ac:dyDescent="0.2">
      <c r="A298" s="30" t="s">
        <v>404</v>
      </c>
      <c r="B298" s="7" t="s">
        <v>75</v>
      </c>
      <c r="C298" s="7" t="s">
        <v>72</v>
      </c>
      <c r="D298" s="7" t="s">
        <v>244</v>
      </c>
      <c r="E298" s="7"/>
      <c r="F298" s="42">
        <f>F299</f>
        <v>238454.81886999999</v>
      </c>
    </row>
    <row r="299" spans="1:6" ht="38.25" x14ac:dyDescent="0.2">
      <c r="A299" s="29" t="s">
        <v>245</v>
      </c>
      <c r="B299" s="4" t="s">
        <v>75</v>
      </c>
      <c r="C299" s="4" t="s">
        <v>72</v>
      </c>
      <c r="D299" s="4" t="s">
        <v>246</v>
      </c>
      <c r="E299" s="4"/>
      <c r="F299" s="5">
        <f>F300+F304+F302+F306</f>
        <v>238454.81886999999</v>
      </c>
    </row>
    <row r="300" spans="1:6" ht="25.5" x14ac:dyDescent="0.2">
      <c r="A300" s="21" t="s">
        <v>167</v>
      </c>
      <c r="B300" s="4" t="s">
        <v>75</v>
      </c>
      <c r="C300" s="4" t="s">
        <v>72</v>
      </c>
      <c r="D300" s="4" t="s">
        <v>249</v>
      </c>
      <c r="E300" s="4"/>
      <c r="F300" s="5">
        <f>F301</f>
        <v>132569.29999999999</v>
      </c>
    </row>
    <row r="301" spans="1:6" ht="51" x14ac:dyDescent="0.2">
      <c r="A301" s="56" t="s">
        <v>132</v>
      </c>
      <c r="B301" s="6" t="s">
        <v>75</v>
      </c>
      <c r="C301" s="6" t="s">
        <v>72</v>
      </c>
      <c r="D301" s="6" t="s">
        <v>249</v>
      </c>
      <c r="E301" s="6" t="s">
        <v>138</v>
      </c>
      <c r="F301" s="82">
        <v>132569.29999999999</v>
      </c>
    </row>
    <row r="302" spans="1:6" ht="38.25" x14ac:dyDescent="0.2">
      <c r="A302" s="97" t="s">
        <v>452</v>
      </c>
      <c r="B302" s="4" t="s">
        <v>75</v>
      </c>
      <c r="C302" s="4" t="s">
        <v>72</v>
      </c>
      <c r="D302" s="4" t="s">
        <v>451</v>
      </c>
      <c r="E302" s="4"/>
      <c r="F302" s="92">
        <f>F303</f>
        <v>563</v>
      </c>
    </row>
    <row r="303" spans="1:6" ht="51" x14ac:dyDescent="0.2">
      <c r="A303" s="56" t="s">
        <v>132</v>
      </c>
      <c r="B303" s="6" t="s">
        <v>75</v>
      </c>
      <c r="C303" s="6" t="s">
        <v>72</v>
      </c>
      <c r="D303" s="6" t="s">
        <v>451</v>
      </c>
      <c r="E303" s="6" t="s">
        <v>138</v>
      </c>
      <c r="F303" s="82">
        <f>563</f>
        <v>563</v>
      </c>
    </row>
    <row r="304" spans="1:6" ht="25.5" x14ac:dyDescent="0.2">
      <c r="A304" s="29" t="s">
        <v>247</v>
      </c>
      <c r="B304" s="4" t="s">
        <v>75</v>
      </c>
      <c r="C304" s="4" t="s">
        <v>72</v>
      </c>
      <c r="D304" s="4" t="s">
        <v>248</v>
      </c>
      <c r="E304" s="4"/>
      <c r="F304" s="5">
        <f>F305</f>
        <v>32314.01887</v>
      </c>
    </row>
    <row r="305" spans="1:6" ht="51" x14ac:dyDescent="0.2">
      <c r="A305" s="56" t="s">
        <v>132</v>
      </c>
      <c r="B305" s="6" t="s">
        <v>75</v>
      </c>
      <c r="C305" s="6" t="s">
        <v>72</v>
      </c>
      <c r="D305" s="6" t="s">
        <v>248</v>
      </c>
      <c r="E305" s="6" t="s">
        <v>138</v>
      </c>
      <c r="F305" s="82">
        <v>32314.01887</v>
      </c>
    </row>
    <row r="306" spans="1:6" ht="25.5" x14ac:dyDescent="0.2">
      <c r="A306" s="29" t="s">
        <v>496</v>
      </c>
      <c r="B306" s="4" t="s">
        <v>75</v>
      </c>
      <c r="C306" s="4" t="s">
        <v>72</v>
      </c>
      <c r="D306" s="4" t="s">
        <v>497</v>
      </c>
      <c r="E306" s="4"/>
      <c r="F306" s="92">
        <f>F307</f>
        <v>73008.5</v>
      </c>
    </row>
    <row r="307" spans="1:6" ht="51" x14ac:dyDescent="0.2">
      <c r="A307" s="56" t="s">
        <v>132</v>
      </c>
      <c r="B307" s="6" t="s">
        <v>75</v>
      </c>
      <c r="C307" s="6" t="s">
        <v>72</v>
      </c>
      <c r="D307" s="6" t="s">
        <v>497</v>
      </c>
      <c r="E307" s="6" t="s">
        <v>138</v>
      </c>
      <c r="F307" s="82">
        <f>71577+1431.5</f>
        <v>73008.5</v>
      </c>
    </row>
    <row r="308" spans="1:6" x14ac:dyDescent="0.2">
      <c r="A308" s="22" t="s">
        <v>67</v>
      </c>
      <c r="B308" s="8" t="s">
        <v>75</v>
      </c>
      <c r="C308" s="8" t="s">
        <v>73</v>
      </c>
      <c r="D308" s="8"/>
      <c r="E308" s="8"/>
      <c r="F308" s="50">
        <f>F309+F340</f>
        <v>607928.81537999993</v>
      </c>
    </row>
    <row r="309" spans="1:6" ht="25.5" x14ac:dyDescent="0.2">
      <c r="A309" s="33" t="s">
        <v>24</v>
      </c>
      <c r="B309" s="10" t="s">
        <v>75</v>
      </c>
      <c r="C309" s="10" t="s">
        <v>73</v>
      </c>
      <c r="D309" s="10" t="s">
        <v>243</v>
      </c>
      <c r="E309" s="10"/>
      <c r="F309" s="51">
        <f>F310</f>
        <v>597872.81537999993</v>
      </c>
    </row>
    <row r="310" spans="1:6" ht="27" x14ac:dyDescent="0.2">
      <c r="A310" s="30" t="s">
        <v>405</v>
      </c>
      <c r="B310" s="7" t="s">
        <v>75</v>
      </c>
      <c r="C310" s="7" t="s">
        <v>73</v>
      </c>
      <c r="D310" s="7" t="s">
        <v>250</v>
      </c>
      <c r="E310" s="7"/>
      <c r="F310" s="42">
        <f>F311+F333+F330</f>
        <v>597872.81537999993</v>
      </c>
    </row>
    <row r="311" spans="1:6" ht="25.5" x14ac:dyDescent="0.2">
      <c r="A311" s="29" t="s">
        <v>256</v>
      </c>
      <c r="B311" s="4" t="s">
        <v>75</v>
      </c>
      <c r="C311" s="4" t="s">
        <v>73</v>
      </c>
      <c r="D311" s="4" t="s">
        <v>252</v>
      </c>
      <c r="E311" s="4"/>
      <c r="F311" s="5">
        <f>F314+F316+F318+F324+F322+F313+F320+F326+F328</f>
        <v>569662.06617999997</v>
      </c>
    </row>
    <row r="312" spans="1:6" s="39" customFormat="1" ht="51" x14ac:dyDescent="0.2">
      <c r="A312" s="29" t="s">
        <v>333</v>
      </c>
      <c r="B312" s="4" t="s">
        <v>75</v>
      </c>
      <c r="C312" s="4" t="s">
        <v>73</v>
      </c>
      <c r="D312" s="4" t="s">
        <v>332</v>
      </c>
      <c r="E312" s="4"/>
      <c r="F312" s="92">
        <f>F313</f>
        <v>31776.400000000001</v>
      </c>
    </row>
    <row r="313" spans="1:6" x14ac:dyDescent="0.2">
      <c r="A313" s="13" t="s">
        <v>134</v>
      </c>
      <c r="B313" s="6" t="s">
        <v>75</v>
      </c>
      <c r="C313" s="6" t="s">
        <v>73</v>
      </c>
      <c r="D313" s="6" t="s">
        <v>332</v>
      </c>
      <c r="E313" s="6" t="s">
        <v>135</v>
      </c>
      <c r="F313" s="82">
        <v>31776.400000000001</v>
      </c>
    </row>
    <row r="314" spans="1:6" ht="63.75" x14ac:dyDescent="0.2">
      <c r="A314" s="23" t="s">
        <v>170</v>
      </c>
      <c r="B314" s="4" t="s">
        <v>75</v>
      </c>
      <c r="C314" s="4" t="s">
        <v>73</v>
      </c>
      <c r="D314" s="4" t="s">
        <v>257</v>
      </c>
      <c r="E314" s="4"/>
      <c r="F314" s="92">
        <f>F315</f>
        <v>266218.90000000002</v>
      </c>
    </row>
    <row r="315" spans="1:6" ht="51" x14ac:dyDescent="0.2">
      <c r="A315" s="24" t="s">
        <v>132</v>
      </c>
      <c r="B315" s="6" t="s">
        <v>75</v>
      </c>
      <c r="C315" s="6" t="s">
        <v>73</v>
      </c>
      <c r="D315" s="6" t="s">
        <v>258</v>
      </c>
      <c r="E315" s="6" t="s">
        <v>138</v>
      </c>
      <c r="F315" s="82">
        <v>266218.90000000002</v>
      </c>
    </row>
    <row r="316" spans="1:6" s="39" customFormat="1" ht="25.5" x14ac:dyDescent="0.2">
      <c r="A316" s="23" t="s">
        <v>169</v>
      </c>
      <c r="B316" s="4" t="s">
        <v>75</v>
      </c>
      <c r="C316" s="4" t="s">
        <v>73</v>
      </c>
      <c r="D316" s="4" t="s">
        <v>259</v>
      </c>
      <c r="E316" s="4"/>
      <c r="F316" s="92">
        <f>F317</f>
        <v>5813</v>
      </c>
    </row>
    <row r="317" spans="1:6" s="39" customFormat="1" x14ac:dyDescent="0.2">
      <c r="A317" s="13" t="s">
        <v>134</v>
      </c>
      <c r="B317" s="6" t="s">
        <v>75</v>
      </c>
      <c r="C317" s="6" t="s">
        <v>73</v>
      </c>
      <c r="D317" s="6" t="s">
        <v>259</v>
      </c>
      <c r="E317" s="6" t="s">
        <v>135</v>
      </c>
      <c r="F317" s="82">
        <f>5813</f>
        <v>5813</v>
      </c>
    </row>
    <row r="318" spans="1:6" ht="38.25" x14ac:dyDescent="0.2">
      <c r="A318" s="29" t="s">
        <v>253</v>
      </c>
      <c r="B318" s="4" t="s">
        <v>75</v>
      </c>
      <c r="C318" s="4" t="s">
        <v>73</v>
      </c>
      <c r="D318" s="4" t="s">
        <v>254</v>
      </c>
      <c r="E318" s="4"/>
      <c r="F318" s="92">
        <f>SUM(F319:F319)</f>
        <v>75021.319180000006</v>
      </c>
    </row>
    <row r="319" spans="1:6" ht="51" x14ac:dyDescent="0.2">
      <c r="A319" s="24" t="s">
        <v>132</v>
      </c>
      <c r="B319" s="6" t="s">
        <v>75</v>
      </c>
      <c r="C319" s="6" t="s">
        <v>73</v>
      </c>
      <c r="D319" s="6" t="s">
        <v>255</v>
      </c>
      <c r="E319" s="6" t="s">
        <v>138</v>
      </c>
      <c r="F319" s="82">
        <v>75021.319180000006</v>
      </c>
    </row>
    <row r="320" spans="1:6" ht="51" x14ac:dyDescent="0.2">
      <c r="A320" s="16" t="s">
        <v>477</v>
      </c>
      <c r="B320" s="4" t="s">
        <v>75</v>
      </c>
      <c r="C320" s="4" t="s">
        <v>73</v>
      </c>
      <c r="D320" s="4" t="s">
        <v>334</v>
      </c>
      <c r="E320" s="4"/>
      <c r="F320" s="92">
        <f>F321</f>
        <v>29553.1</v>
      </c>
    </row>
    <row r="321" spans="1:6" x14ac:dyDescent="0.2">
      <c r="A321" s="13" t="s">
        <v>134</v>
      </c>
      <c r="B321" s="6" t="s">
        <v>75</v>
      </c>
      <c r="C321" s="6" t="s">
        <v>73</v>
      </c>
      <c r="D321" s="6" t="s">
        <v>334</v>
      </c>
      <c r="E321" s="6" t="s">
        <v>135</v>
      </c>
      <c r="F321" s="82">
        <f>29257.6+295.5</f>
        <v>29553.1</v>
      </c>
    </row>
    <row r="322" spans="1:6" s="39" customFormat="1" ht="51" x14ac:dyDescent="0.2">
      <c r="A322" s="29" t="s">
        <v>478</v>
      </c>
      <c r="B322" s="4" t="s">
        <v>75</v>
      </c>
      <c r="C322" s="4" t="s">
        <v>73</v>
      </c>
      <c r="D322" s="4" t="s">
        <v>393</v>
      </c>
      <c r="E322" s="4"/>
      <c r="F322" s="92">
        <f>F323</f>
        <v>131385.20000000001</v>
      </c>
    </row>
    <row r="323" spans="1:6" s="39" customFormat="1" ht="51" x14ac:dyDescent="0.2">
      <c r="A323" s="24" t="s">
        <v>132</v>
      </c>
      <c r="B323" s="6" t="s">
        <v>75</v>
      </c>
      <c r="C323" s="6" t="s">
        <v>73</v>
      </c>
      <c r="D323" s="6" t="s">
        <v>393</v>
      </c>
      <c r="E323" s="6" t="s">
        <v>138</v>
      </c>
      <c r="F323" s="82">
        <v>131385.20000000001</v>
      </c>
    </row>
    <row r="324" spans="1:6" s="39" customFormat="1" ht="38.25" x14ac:dyDescent="0.2">
      <c r="A324" s="16" t="s">
        <v>479</v>
      </c>
      <c r="B324" s="4" t="s">
        <v>75</v>
      </c>
      <c r="C324" s="4" t="s">
        <v>73</v>
      </c>
      <c r="D324" s="4" t="s">
        <v>426</v>
      </c>
      <c r="E324" s="4"/>
      <c r="F324" s="92">
        <f>F325</f>
        <v>24643.8</v>
      </c>
    </row>
    <row r="325" spans="1:6" s="39" customFormat="1" x14ac:dyDescent="0.2">
      <c r="A325" s="13" t="s">
        <v>134</v>
      </c>
      <c r="B325" s="6" t="s">
        <v>75</v>
      </c>
      <c r="C325" s="6" t="s">
        <v>73</v>
      </c>
      <c r="D325" s="6" t="s">
        <v>426</v>
      </c>
      <c r="E325" s="6" t="s">
        <v>135</v>
      </c>
      <c r="F325" s="82">
        <f>12321.9+12321.9</f>
        <v>24643.8</v>
      </c>
    </row>
    <row r="326" spans="1:6" s="39" customFormat="1" ht="63.75" x14ac:dyDescent="0.2">
      <c r="A326" s="16" t="s">
        <v>476</v>
      </c>
      <c r="B326" s="4" t="s">
        <v>75</v>
      </c>
      <c r="C326" s="4" t="s">
        <v>73</v>
      </c>
      <c r="D326" s="4" t="s">
        <v>425</v>
      </c>
      <c r="E326" s="4"/>
      <c r="F326" s="92">
        <f>F327</f>
        <v>492.34699999999998</v>
      </c>
    </row>
    <row r="327" spans="1:6" s="39" customFormat="1" x14ac:dyDescent="0.2">
      <c r="A327" s="13" t="s">
        <v>134</v>
      </c>
      <c r="B327" s="6" t="s">
        <v>75</v>
      </c>
      <c r="C327" s="6" t="s">
        <v>73</v>
      </c>
      <c r="D327" s="6" t="s">
        <v>425</v>
      </c>
      <c r="E327" s="6" t="s">
        <v>135</v>
      </c>
      <c r="F327" s="82">
        <v>492.34699999999998</v>
      </c>
    </row>
    <row r="328" spans="1:6" s="102" customFormat="1" ht="51" x14ac:dyDescent="0.2">
      <c r="A328" s="106" t="s">
        <v>483</v>
      </c>
      <c r="B328" s="88" t="s">
        <v>75</v>
      </c>
      <c r="C328" s="88" t="s">
        <v>73</v>
      </c>
      <c r="D328" s="88" t="s">
        <v>482</v>
      </c>
      <c r="E328" s="88"/>
      <c r="F328" s="92">
        <f>F329</f>
        <v>4758</v>
      </c>
    </row>
    <row r="329" spans="1:6" s="102" customFormat="1" ht="51" x14ac:dyDescent="0.2">
      <c r="A329" s="24" t="s">
        <v>132</v>
      </c>
      <c r="B329" s="86" t="s">
        <v>75</v>
      </c>
      <c r="C329" s="86" t="s">
        <v>73</v>
      </c>
      <c r="D329" s="86" t="s">
        <v>482</v>
      </c>
      <c r="E329" s="86" t="s">
        <v>138</v>
      </c>
      <c r="F329" s="82">
        <f>4758</f>
        <v>4758</v>
      </c>
    </row>
    <row r="330" spans="1:6" s="39" customFormat="1" ht="38.25" x14ac:dyDescent="0.2">
      <c r="A330" s="16" t="s">
        <v>437</v>
      </c>
      <c r="B330" s="4" t="s">
        <v>75</v>
      </c>
      <c r="C330" s="4" t="s">
        <v>73</v>
      </c>
      <c r="D330" s="4" t="s">
        <v>439</v>
      </c>
      <c r="E330" s="4"/>
      <c r="F330" s="5">
        <f>F331</f>
        <v>255.2</v>
      </c>
    </row>
    <row r="331" spans="1:6" s="39" customFormat="1" ht="25.5" x14ac:dyDescent="0.2">
      <c r="A331" s="16" t="s">
        <v>438</v>
      </c>
      <c r="B331" s="4" t="s">
        <v>75</v>
      </c>
      <c r="C331" s="4" t="s">
        <v>73</v>
      </c>
      <c r="D331" s="4" t="s">
        <v>440</v>
      </c>
      <c r="E331" s="4"/>
      <c r="F331" s="5">
        <f>F332</f>
        <v>255.2</v>
      </c>
    </row>
    <row r="332" spans="1:6" s="39" customFormat="1" x14ac:dyDescent="0.2">
      <c r="A332" s="13" t="s">
        <v>134</v>
      </c>
      <c r="B332" s="6" t="s">
        <v>75</v>
      </c>
      <c r="C332" s="6" t="s">
        <v>73</v>
      </c>
      <c r="D332" s="6" t="s">
        <v>440</v>
      </c>
      <c r="E332" s="6" t="s">
        <v>135</v>
      </c>
      <c r="F332" s="19">
        <v>255.2</v>
      </c>
    </row>
    <row r="333" spans="1:6" s="39" customFormat="1" ht="25.5" x14ac:dyDescent="0.2">
      <c r="A333" s="28" t="s">
        <v>20</v>
      </c>
      <c r="B333" s="4" t="s">
        <v>75</v>
      </c>
      <c r="C333" s="4" t="s">
        <v>73</v>
      </c>
      <c r="D333" s="4" t="s">
        <v>21</v>
      </c>
      <c r="E333" s="4"/>
      <c r="F333" s="5">
        <f>F336+F334+F338</f>
        <v>27955.549199999998</v>
      </c>
    </row>
    <row r="334" spans="1:6" s="39" customFormat="1" ht="25.5" x14ac:dyDescent="0.2">
      <c r="A334" s="28" t="s">
        <v>487</v>
      </c>
      <c r="B334" s="4" t="s">
        <v>75</v>
      </c>
      <c r="C334" s="4" t="s">
        <v>73</v>
      </c>
      <c r="D334" s="4" t="s">
        <v>488</v>
      </c>
      <c r="E334" s="4"/>
      <c r="F334" s="92">
        <f>F335</f>
        <v>21357.655999999999</v>
      </c>
    </row>
    <row r="335" spans="1:6" s="39" customFormat="1" x14ac:dyDescent="0.2">
      <c r="A335" s="13" t="s">
        <v>134</v>
      </c>
      <c r="B335" s="6" t="s">
        <v>75</v>
      </c>
      <c r="C335" s="6" t="s">
        <v>73</v>
      </c>
      <c r="D335" s="6" t="s">
        <v>488</v>
      </c>
      <c r="E335" s="6" t="s">
        <v>135</v>
      </c>
      <c r="F335" s="82">
        <v>21357.655999999999</v>
      </c>
    </row>
    <row r="336" spans="1:6" s="39" customFormat="1" ht="63.75" x14ac:dyDescent="0.2">
      <c r="A336" s="29" t="s">
        <v>174</v>
      </c>
      <c r="B336" s="4" t="s">
        <v>75</v>
      </c>
      <c r="C336" s="4" t="s">
        <v>73</v>
      </c>
      <c r="D336" s="4" t="s">
        <v>22</v>
      </c>
      <c r="E336" s="4"/>
      <c r="F336" s="92">
        <f>F337</f>
        <v>4054.8932</v>
      </c>
    </row>
    <row r="337" spans="1:6" s="39" customFormat="1" x14ac:dyDescent="0.2">
      <c r="A337" s="13" t="s">
        <v>134</v>
      </c>
      <c r="B337" s="6" t="s">
        <v>75</v>
      </c>
      <c r="C337" s="6" t="s">
        <v>73</v>
      </c>
      <c r="D337" s="6" t="s">
        <v>22</v>
      </c>
      <c r="E337" s="6" t="s">
        <v>135</v>
      </c>
      <c r="F337" s="19">
        <v>4054.8932</v>
      </c>
    </row>
    <row r="338" spans="1:6" s="39" customFormat="1" ht="51" x14ac:dyDescent="0.2">
      <c r="A338" s="28" t="s">
        <v>489</v>
      </c>
      <c r="B338" s="4" t="s">
        <v>75</v>
      </c>
      <c r="C338" s="4" t="s">
        <v>73</v>
      </c>
      <c r="D338" s="4" t="s">
        <v>491</v>
      </c>
      <c r="E338" s="4"/>
      <c r="F338" s="92">
        <f>F339</f>
        <v>2543</v>
      </c>
    </row>
    <row r="339" spans="1:6" s="39" customFormat="1" x14ac:dyDescent="0.2">
      <c r="A339" s="13" t="s">
        <v>134</v>
      </c>
      <c r="B339" s="6" t="s">
        <v>75</v>
      </c>
      <c r="C339" s="6" t="s">
        <v>73</v>
      </c>
      <c r="D339" s="6" t="s">
        <v>491</v>
      </c>
      <c r="E339" s="6" t="s">
        <v>135</v>
      </c>
      <c r="F339" s="82">
        <f>2492.1+50.9</f>
        <v>2543</v>
      </c>
    </row>
    <row r="340" spans="1:6" x14ac:dyDescent="0.2">
      <c r="A340" s="38" t="s">
        <v>163</v>
      </c>
      <c r="B340" s="10" t="s">
        <v>75</v>
      </c>
      <c r="C340" s="10" t="s">
        <v>73</v>
      </c>
      <c r="D340" s="10" t="s">
        <v>184</v>
      </c>
      <c r="E340" s="10"/>
      <c r="F340" s="51">
        <f>F341</f>
        <v>10056</v>
      </c>
    </row>
    <row r="341" spans="1:6" ht="63.75" x14ac:dyDescent="0.2">
      <c r="A341" s="29" t="s">
        <v>174</v>
      </c>
      <c r="B341" s="4" t="s">
        <v>75</v>
      </c>
      <c r="C341" s="4" t="s">
        <v>73</v>
      </c>
      <c r="D341" s="4" t="s">
        <v>593</v>
      </c>
      <c r="E341" s="4"/>
      <c r="F341" s="92">
        <f>F342</f>
        <v>10056</v>
      </c>
    </row>
    <row r="342" spans="1:6" ht="38.25" x14ac:dyDescent="0.2">
      <c r="A342" s="110" t="s">
        <v>504</v>
      </c>
      <c r="B342" s="6" t="s">
        <v>75</v>
      </c>
      <c r="C342" s="6" t="s">
        <v>73</v>
      </c>
      <c r="D342" s="4" t="s">
        <v>593</v>
      </c>
      <c r="E342" s="6" t="s">
        <v>505</v>
      </c>
      <c r="F342" s="82">
        <v>10056</v>
      </c>
    </row>
    <row r="343" spans="1:6" s="39" customFormat="1" x14ac:dyDescent="0.2">
      <c r="A343" s="22" t="s">
        <v>298</v>
      </c>
      <c r="B343" s="8" t="s">
        <v>75</v>
      </c>
      <c r="C343" s="8" t="s">
        <v>86</v>
      </c>
      <c r="D343" s="8"/>
      <c r="E343" s="8"/>
      <c r="F343" s="50">
        <f>F354+F365+F344</f>
        <v>214475.74</v>
      </c>
    </row>
    <row r="344" spans="1:6" s="39" customFormat="1" ht="38.25" x14ac:dyDescent="0.2">
      <c r="A344" s="38" t="s">
        <v>343</v>
      </c>
      <c r="B344" s="10" t="s">
        <v>75</v>
      </c>
      <c r="C344" s="10" t="s">
        <v>86</v>
      </c>
      <c r="D344" s="10" t="s">
        <v>44</v>
      </c>
      <c r="E344" s="10"/>
      <c r="F344" s="51">
        <f>F345</f>
        <v>104696.34</v>
      </c>
    </row>
    <row r="345" spans="1:6" s="39" customFormat="1" ht="51" x14ac:dyDescent="0.2">
      <c r="A345" s="15" t="s">
        <v>535</v>
      </c>
      <c r="B345" s="4" t="s">
        <v>75</v>
      </c>
      <c r="C345" s="4" t="s">
        <v>86</v>
      </c>
      <c r="D345" s="4" t="s">
        <v>530</v>
      </c>
      <c r="E345" s="4"/>
      <c r="F345" s="5">
        <f>F346+F349</f>
        <v>104696.34</v>
      </c>
    </row>
    <row r="346" spans="1:6" s="39" customFormat="1" ht="51" x14ac:dyDescent="0.2">
      <c r="A346" s="15" t="s">
        <v>537</v>
      </c>
      <c r="B346" s="4" t="s">
        <v>75</v>
      </c>
      <c r="C346" s="4" t="s">
        <v>86</v>
      </c>
      <c r="D346" s="4" t="s">
        <v>531</v>
      </c>
      <c r="E346" s="4"/>
      <c r="F346" s="5">
        <f>F347</f>
        <v>39145.870000000003</v>
      </c>
    </row>
    <row r="347" spans="1:6" s="39" customFormat="1" x14ac:dyDescent="0.2">
      <c r="A347" s="15" t="s">
        <v>484</v>
      </c>
      <c r="B347" s="4" t="s">
        <v>75</v>
      </c>
      <c r="C347" s="4" t="s">
        <v>542</v>
      </c>
      <c r="D347" s="4" t="s">
        <v>536</v>
      </c>
      <c r="E347" s="4"/>
      <c r="F347" s="5">
        <f>SUM(F348:F348)</f>
        <v>39145.870000000003</v>
      </c>
    </row>
    <row r="348" spans="1:6" s="39" customFormat="1" x14ac:dyDescent="0.2">
      <c r="A348" s="24" t="s">
        <v>445</v>
      </c>
      <c r="B348" s="6" t="s">
        <v>75</v>
      </c>
      <c r="C348" s="6" t="s">
        <v>86</v>
      </c>
      <c r="D348" s="6" t="s">
        <v>536</v>
      </c>
      <c r="E348" s="6" t="s">
        <v>145</v>
      </c>
      <c r="F348" s="19">
        <v>39145.870000000003</v>
      </c>
    </row>
    <row r="349" spans="1:6" s="39" customFormat="1" ht="51" x14ac:dyDescent="0.2">
      <c r="A349" s="15" t="s">
        <v>537</v>
      </c>
      <c r="B349" s="4" t="s">
        <v>75</v>
      </c>
      <c r="C349" s="4" t="s">
        <v>86</v>
      </c>
      <c r="D349" s="4" t="s">
        <v>538</v>
      </c>
      <c r="E349" s="4"/>
      <c r="F349" s="5">
        <f>F350+F352</f>
        <v>65550.47</v>
      </c>
    </row>
    <row r="350" spans="1:6" s="39" customFormat="1" x14ac:dyDescent="0.2">
      <c r="A350" s="15" t="s">
        <v>484</v>
      </c>
      <c r="B350" s="4" t="s">
        <v>75</v>
      </c>
      <c r="C350" s="4" t="s">
        <v>86</v>
      </c>
      <c r="D350" s="4" t="s">
        <v>539</v>
      </c>
      <c r="E350" s="4"/>
      <c r="F350" s="5">
        <f>SUM(F351:F351)</f>
        <v>45171.06</v>
      </c>
    </row>
    <row r="351" spans="1:6" s="39" customFormat="1" x14ac:dyDescent="0.2">
      <c r="A351" s="24" t="s">
        <v>445</v>
      </c>
      <c r="B351" s="6" t="s">
        <v>75</v>
      </c>
      <c r="C351" s="6" t="s">
        <v>86</v>
      </c>
      <c r="D351" s="6" t="s">
        <v>539</v>
      </c>
      <c r="E351" s="6" t="s">
        <v>145</v>
      </c>
      <c r="F351" s="19">
        <v>45171.06</v>
      </c>
    </row>
    <row r="352" spans="1:6" s="39" customFormat="1" ht="25.5" x14ac:dyDescent="0.2">
      <c r="A352" s="15" t="s">
        <v>490</v>
      </c>
      <c r="B352" s="4" t="s">
        <v>75</v>
      </c>
      <c r="C352" s="4" t="s">
        <v>86</v>
      </c>
      <c r="D352" s="4" t="s">
        <v>540</v>
      </c>
      <c r="E352" s="4"/>
      <c r="F352" s="5">
        <f>SUM(F353:F353)</f>
        <v>20379.41</v>
      </c>
    </row>
    <row r="353" spans="1:6" s="39" customFormat="1" x14ac:dyDescent="0.2">
      <c r="A353" s="24" t="s">
        <v>445</v>
      </c>
      <c r="B353" s="6" t="s">
        <v>75</v>
      </c>
      <c r="C353" s="6" t="s">
        <v>86</v>
      </c>
      <c r="D353" s="4" t="s">
        <v>540</v>
      </c>
      <c r="E353" s="6" t="s">
        <v>145</v>
      </c>
      <c r="F353" s="19">
        <v>20379.41</v>
      </c>
    </row>
    <row r="354" spans="1:6" ht="25.5" x14ac:dyDescent="0.2">
      <c r="A354" s="17" t="s">
        <v>376</v>
      </c>
      <c r="B354" s="10" t="s">
        <v>75</v>
      </c>
      <c r="C354" s="10" t="s">
        <v>86</v>
      </c>
      <c r="D354" s="10" t="s">
        <v>217</v>
      </c>
      <c r="E354" s="10"/>
      <c r="F354" s="51">
        <f>F355+F361</f>
        <v>25638.3</v>
      </c>
    </row>
    <row r="355" spans="1:6" ht="27" x14ac:dyDescent="0.2">
      <c r="A355" s="41" t="s">
        <v>4</v>
      </c>
      <c r="B355" s="7" t="s">
        <v>75</v>
      </c>
      <c r="C355" s="7" t="s">
        <v>86</v>
      </c>
      <c r="D355" s="7" t="s">
        <v>218</v>
      </c>
      <c r="E355" s="7"/>
      <c r="F355" s="42">
        <f>F356</f>
        <v>25608.3</v>
      </c>
    </row>
    <row r="356" spans="1:6" ht="25.5" x14ac:dyDescent="0.2">
      <c r="A356" s="23" t="s">
        <v>219</v>
      </c>
      <c r="B356" s="4" t="s">
        <v>75</v>
      </c>
      <c r="C356" s="4" t="s">
        <v>86</v>
      </c>
      <c r="D356" s="4" t="s">
        <v>220</v>
      </c>
      <c r="E356" s="4"/>
      <c r="F356" s="5">
        <f>F357+F359</f>
        <v>25608.3</v>
      </c>
    </row>
    <row r="357" spans="1:6" ht="38.25" x14ac:dyDescent="0.2">
      <c r="A357" s="14" t="s">
        <v>221</v>
      </c>
      <c r="B357" s="6" t="s">
        <v>75</v>
      </c>
      <c r="C357" s="6" t="s">
        <v>86</v>
      </c>
      <c r="D357" s="4" t="s">
        <v>222</v>
      </c>
      <c r="E357" s="6"/>
      <c r="F357" s="92">
        <f>F358</f>
        <v>12124.8</v>
      </c>
    </row>
    <row r="358" spans="1:6" ht="51" x14ac:dyDescent="0.2">
      <c r="A358" s="24" t="s">
        <v>133</v>
      </c>
      <c r="B358" s="6" t="s">
        <v>75</v>
      </c>
      <c r="C358" s="6" t="s">
        <v>86</v>
      </c>
      <c r="D358" s="6" t="s">
        <v>222</v>
      </c>
      <c r="E358" s="6" t="s">
        <v>137</v>
      </c>
      <c r="F358" s="82">
        <v>12124.8</v>
      </c>
    </row>
    <row r="359" spans="1:6" ht="76.5" x14ac:dyDescent="0.2">
      <c r="A359" s="23" t="s">
        <v>464</v>
      </c>
      <c r="B359" s="4" t="s">
        <v>75</v>
      </c>
      <c r="C359" s="4" t="s">
        <v>86</v>
      </c>
      <c r="D359" s="4" t="s">
        <v>358</v>
      </c>
      <c r="E359" s="4"/>
      <c r="F359" s="5">
        <f>F360</f>
        <v>13483.5</v>
      </c>
    </row>
    <row r="360" spans="1:6" ht="51" x14ac:dyDescent="0.2">
      <c r="A360" s="24" t="s">
        <v>133</v>
      </c>
      <c r="B360" s="6" t="s">
        <v>75</v>
      </c>
      <c r="C360" s="6" t="s">
        <v>86</v>
      </c>
      <c r="D360" s="6" t="s">
        <v>358</v>
      </c>
      <c r="E360" s="6" t="s">
        <v>137</v>
      </c>
      <c r="F360" s="82">
        <v>13483.5</v>
      </c>
    </row>
    <row r="361" spans="1:6" ht="13.5" x14ac:dyDescent="0.2">
      <c r="A361" s="41" t="s">
        <v>8</v>
      </c>
      <c r="B361" s="7" t="s">
        <v>75</v>
      </c>
      <c r="C361" s="7" t="s">
        <v>86</v>
      </c>
      <c r="D361" s="7" t="s">
        <v>234</v>
      </c>
      <c r="E361" s="7"/>
      <c r="F361" s="42">
        <f>F362</f>
        <v>30</v>
      </c>
    </row>
    <row r="362" spans="1:6" ht="25.5" x14ac:dyDescent="0.2">
      <c r="A362" s="23" t="s">
        <v>235</v>
      </c>
      <c r="B362" s="4" t="s">
        <v>75</v>
      </c>
      <c r="C362" s="4" t="s">
        <v>86</v>
      </c>
      <c r="D362" s="4" t="s">
        <v>236</v>
      </c>
      <c r="E362" s="4"/>
      <c r="F362" s="5">
        <f>F363</f>
        <v>30</v>
      </c>
    </row>
    <row r="363" spans="1:6" ht="25.5" x14ac:dyDescent="0.2">
      <c r="A363" s="15" t="s">
        <v>237</v>
      </c>
      <c r="B363" s="6" t="s">
        <v>75</v>
      </c>
      <c r="C363" s="6" t="s">
        <v>86</v>
      </c>
      <c r="D363" s="4" t="s">
        <v>238</v>
      </c>
      <c r="E363" s="6"/>
      <c r="F363" s="92">
        <f>F364</f>
        <v>30</v>
      </c>
    </row>
    <row r="364" spans="1:6" ht="51" x14ac:dyDescent="0.2">
      <c r="A364" s="24" t="s">
        <v>133</v>
      </c>
      <c r="B364" s="6" t="s">
        <v>75</v>
      </c>
      <c r="C364" s="6" t="s">
        <v>86</v>
      </c>
      <c r="D364" s="4" t="s">
        <v>238</v>
      </c>
      <c r="E364" s="6" t="s">
        <v>137</v>
      </c>
      <c r="F364" s="82">
        <v>30</v>
      </c>
    </row>
    <row r="365" spans="1:6" s="39" customFormat="1" ht="25.5" x14ac:dyDescent="0.2">
      <c r="A365" s="33" t="s">
        <v>24</v>
      </c>
      <c r="B365" s="10" t="s">
        <v>75</v>
      </c>
      <c r="C365" s="10" t="s">
        <v>86</v>
      </c>
      <c r="D365" s="10" t="s">
        <v>243</v>
      </c>
      <c r="E365" s="10"/>
      <c r="F365" s="51">
        <f>F366+F377</f>
        <v>84141.1</v>
      </c>
    </row>
    <row r="366" spans="1:6" s="39" customFormat="1" ht="27" x14ac:dyDescent="0.2">
      <c r="A366" s="30" t="s">
        <v>406</v>
      </c>
      <c r="B366" s="7" t="s">
        <v>75</v>
      </c>
      <c r="C366" s="7" t="s">
        <v>86</v>
      </c>
      <c r="D366" s="7" t="s">
        <v>260</v>
      </c>
      <c r="E366" s="7"/>
      <c r="F366" s="42">
        <f>F367</f>
        <v>84035.5</v>
      </c>
    </row>
    <row r="367" spans="1:6" s="39" customFormat="1" ht="38.25" x14ac:dyDescent="0.2">
      <c r="A367" s="29" t="s">
        <v>251</v>
      </c>
      <c r="B367" s="4" t="s">
        <v>75</v>
      </c>
      <c r="C367" s="4" t="s">
        <v>86</v>
      </c>
      <c r="D367" s="4" t="s">
        <v>261</v>
      </c>
      <c r="E367" s="4"/>
      <c r="F367" s="5">
        <f>F368+F371+F374</f>
        <v>84035.5</v>
      </c>
    </row>
    <row r="368" spans="1:6" s="39" customFormat="1" ht="38.25" x14ac:dyDescent="0.2">
      <c r="A368" s="29" t="s">
        <v>262</v>
      </c>
      <c r="B368" s="4" t="s">
        <v>75</v>
      </c>
      <c r="C368" s="4" t="s">
        <v>86</v>
      </c>
      <c r="D368" s="4" t="s">
        <v>263</v>
      </c>
      <c r="E368" s="4"/>
      <c r="F368" s="5">
        <f>F369+F370</f>
        <v>33073.799999999996</v>
      </c>
    </row>
    <row r="369" spans="1:6" s="39" customFormat="1" ht="51" x14ac:dyDescent="0.2">
      <c r="A369" s="24" t="s">
        <v>132</v>
      </c>
      <c r="B369" s="6" t="s">
        <v>75</v>
      </c>
      <c r="C369" s="6" t="s">
        <v>86</v>
      </c>
      <c r="D369" s="6" t="s">
        <v>263</v>
      </c>
      <c r="E369" s="6" t="s">
        <v>138</v>
      </c>
      <c r="F369" s="80">
        <v>7992.2</v>
      </c>
    </row>
    <row r="370" spans="1:6" s="39" customFormat="1" ht="51" x14ac:dyDescent="0.2">
      <c r="A370" s="13" t="s">
        <v>133</v>
      </c>
      <c r="B370" s="6" t="s">
        <v>75</v>
      </c>
      <c r="C370" s="6" t="s">
        <v>86</v>
      </c>
      <c r="D370" s="6" t="s">
        <v>263</v>
      </c>
      <c r="E370" s="6" t="s">
        <v>137</v>
      </c>
      <c r="F370" s="98">
        <v>25081.599999999999</v>
      </c>
    </row>
    <row r="371" spans="1:6" s="39" customFormat="1" ht="38.25" x14ac:dyDescent="0.2">
      <c r="A371" s="16" t="s">
        <v>171</v>
      </c>
      <c r="B371" s="4" t="s">
        <v>75</v>
      </c>
      <c r="C371" s="4" t="s">
        <v>86</v>
      </c>
      <c r="D371" s="4" t="s">
        <v>373</v>
      </c>
      <c r="E371" s="4"/>
      <c r="F371" s="5">
        <f>F372+F373</f>
        <v>42329.8</v>
      </c>
    </row>
    <row r="372" spans="1:6" s="39" customFormat="1" ht="51" x14ac:dyDescent="0.2">
      <c r="A372" s="24" t="s">
        <v>132</v>
      </c>
      <c r="B372" s="6" t="s">
        <v>75</v>
      </c>
      <c r="C372" s="6" t="s">
        <v>86</v>
      </c>
      <c r="D372" s="6" t="s">
        <v>373</v>
      </c>
      <c r="E372" s="6" t="s">
        <v>138</v>
      </c>
      <c r="F372" s="82">
        <v>10159.152</v>
      </c>
    </row>
    <row r="373" spans="1:6" s="39" customFormat="1" ht="51" x14ac:dyDescent="0.2">
      <c r="A373" s="13" t="s">
        <v>133</v>
      </c>
      <c r="B373" s="6" t="s">
        <v>75</v>
      </c>
      <c r="C373" s="6" t="s">
        <v>86</v>
      </c>
      <c r="D373" s="6" t="s">
        <v>373</v>
      </c>
      <c r="E373" s="6" t="s">
        <v>137</v>
      </c>
      <c r="F373" s="82">
        <v>32170.648000000001</v>
      </c>
    </row>
    <row r="374" spans="1:6" s="39" customFormat="1" ht="25.5" x14ac:dyDescent="0.2">
      <c r="A374" s="29" t="s">
        <v>496</v>
      </c>
      <c r="B374" s="4" t="s">
        <v>75</v>
      </c>
      <c r="C374" s="4" t="s">
        <v>86</v>
      </c>
      <c r="D374" s="4" t="s">
        <v>594</v>
      </c>
      <c r="E374" s="4"/>
      <c r="F374" s="92">
        <f>SUM(F375:F376)</f>
        <v>8631.9</v>
      </c>
    </row>
    <row r="375" spans="1:6" s="39" customFormat="1" ht="51" x14ac:dyDescent="0.2">
      <c r="A375" s="24" t="s">
        <v>132</v>
      </c>
      <c r="B375" s="6" t="s">
        <v>75</v>
      </c>
      <c r="C375" s="6" t="s">
        <v>86</v>
      </c>
      <c r="D375" s="6" t="s">
        <v>594</v>
      </c>
      <c r="E375" s="6" t="s">
        <v>138</v>
      </c>
      <c r="F375" s="82">
        <v>4000</v>
      </c>
    </row>
    <row r="376" spans="1:6" s="39" customFormat="1" ht="51" x14ac:dyDescent="0.2">
      <c r="A376" s="13" t="s">
        <v>133</v>
      </c>
      <c r="B376" s="6" t="s">
        <v>75</v>
      </c>
      <c r="C376" s="6" t="s">
        <v>86</v>
      </c>
      <c r="D376" s="6" t="s">
        <v>594</v>
      </c>
      <c r="E376" s="6" t="s">
        <v>137</v>
      </c>
      <c r="F376" s="82">
        <v>4631.8999999999996</v>
      </c>
    </row>
    <row r="377" spans="1:6" ht="13.5" x14ac:dyDescent="0.2">
      <c r="A377" s="59" t="s">
        <v>5</v>
      </c>
      <c r="B377" s="7" t="s">
        <v>75</v>
      </c>
      <c r="C377" s="7" t="s">
        <v>86</v>
      </c>
      <c r="D377" s="7" t="s">
        <v>314</v>
      </c>
      <c r="E377" s="7"/>
      <c r="F377" s="42">
        <f>F378</f>
        <v>105.6</v>
      </c>
    </row>
    <row r="378" spans="1:6" ht="25.5" x14ac:dyDescent="0.2">
      <c r="A378" s="60" t="s">
        <v>315</v>
      </c>
      <c r="B378" s="4" t="s">
        <v>75</v>
      </c>
      <c r="C378" s="4" t="s">
        <v>86</v>
      </c>
      <c r="D378" s="4" t="s">
        <v>316</v>
      </c>
      <c r="E378" s="4"/>
      <c r="F378" s="5">
        <f>F379</f>
        <v>105.6</v>
      </c>
    </row>
    <row r="379" spans="1:6" ht="25.5" x14ac:dyDescent="0.2">
      <c r="A379" s="60" t="s">
        <v>317</v>
      </c>
      <c r="B379" s="4" t="s">
        <v>75</v>
      </c>
      <c r="C379" s="4" t="s">
        <v>86</v>
      </c>
      <c r="D379" s="4" t="s">
        <v>318</v>
      </c>
      <c r="E379" s="4"/>
      <c r="F379" s="5">
        <f>F380</f>
        <v>105.6</v>
      </c>
    </row>
    <row r="380" spans="1:6" x14ac:dyDescent="0.2">
      <c r="A380" s="61" t="s">
        <v>144</v>
      </c>
      <c r="B380" s="6" t="s">
        <v>75</v>
      </c>
      <c r="C380" s="6" t="s">
        <v>86</v>
      </c>
      <c r="D380" s="6" t="s">
        <v>318</v>
      </c>
      <c r="E380" s="6" t="s">
        <v>145</v>
      </c>
      <c r="F380" s="82">
        <v>105.6</v>
      </c>
    </row>
    <row r="381" spans="1:6" s="39" customFormat="1" ht="25.5" x14ac:dyDescent="0.2">
      <c r="A381" s="22" t="s">
        <v>62</v>
      </c>
      <c r="B381" s="76" t="s">
        <v>75</v>
      </c>
      <c r="C381" s="76" t="s">
        <v>76</v>
      </c>
      <c r="D381" s="22"/>
      <c r="E381" s="22"/>
      <c r="F381" s="50">
        <f>F382</f>
        <v>393.9</v>
      </c>
    </row>
    <row r="382" spans="1:6" s="39" customFormat="1" ht="25.5" x14ac:dyDescent="0.2">
      <c r="A382" s="33" t="s">
        <v>24</v>
      </c>
      <c r="B382" s="10" t="s">
        <v>75</v>
      </c>
      <c r="C382" s="10" t="s">
        <v>76</v>
      </c>
      <c r="D382" s="10" t="s">
        <v>243</v>
      </c>
      <c r="E382" s="10"/>
      <c r="F382" s="51">
        <f>F383</f>
        <v>393.9</v>
      </c>
    </row>
    <row r="383" spans="1:6" s="39" customFormat="1" ht="27" x14ac:dyDescent="0.2">
      <c r="A383" s="30" t="s">
        <v>405</v>
      </c>
      <c r="B383" s="7" t="s">
        <v>75</v>
      </c>
      <c r="C383" s="7" t="s">
        <v>76</v>
      </c>
      <c r="D383" s="7" t="s">
        <v>250</v>
      </c>
      <c r="E383" s="7"/>
      <c r="F383" s="42">
        <f>F385</f>
        <v>393.9</v>
      </c>
    </row>
    <row r="384" spans="1:6" s="39" customFormat="1" ht="25.5" x14ac:dyDescent="0.2">
      <c r="A384" s="29" t="s">
        <v>256</v>
      </c>
      <c r="B384" s="4" t="s">
        <v>75</v>
      </c>
      <c r="C384" s="4" t="s">
        <v>76</v>
      </c>
      <c r="D384" s="4" t="s">
        <v>252</v>
      </c>
      <c r="E384" s="4"/>
      <c r="F384" s="5">
        <f>F385</f>
        <v>393.9</v>
      </c>
    </row>
    <row r="385" spans="1:6" s="39" customFormat="1" ht="38.25" x14ac:dyDescent="0.2">
      <c r="A385" s="23" t="s">
        <v>411</v>
      </c>
      <c r="B385" s="4" t="s">
        <v>75</v>
      </c>
      <c r="C385" s="4" t="s">
        <v>76</v>
      </c>
      <c r="D385" s="4" t="s">
        <v>63</v>
      </c>
      <c r="E385" s="4"/>
      <c r="F385" s="92">
        <f>F386</f>
        <v>393.9</v>
      </c>
    </row>
    <row r="386" spans="1:6" s="39" customFormat="1" x14ac:dyDescent="0.2">
      <c r="A386" s="24" t="s">
        <v>134</v>
      </c>
      <c r="B386" s="6" t="s">
        <v>75</v>
      </c>
      <c r="C386" s="6" t="s">
        <v>76</v>
      </c>
      <c r="D386" s="6" t="s">
        <v>63</v>
      </c>
      <c r="E386" s="6" t="s">
        <v>135</v>
      </c>
      <c r="F386" s="82">
        <f>386+7.9</f>
        <v>393.9</v>
      </c>
    </row>
    <row r="387" spans="1:6" s="39" customFormat="1" x14ac:dyDescent="0.2">
      <c r="A387" s="22" t="s">
        <v>90</v>
      </c>
      <c r="B387" s="8" t="s">
        <v>75</v>
      </c>
      <c r="C387" s="8" t="s">
        <v>75</v>
      </c>
      <c r="D387" s="8"/>
      <c r="E387" s="8"/>
      <c r="F387" s="50">
        <f>F397+F388</f>
        <v>12484.600819999998</v>
      </c>
    </row>
    <row r="388" spans="1:6" s="39" customFormat="1" ht="38.25" x14ac:dyDescent="0.2">
      <c r="A388" s="17" t="s">
        <v>379</v>
      </c>
      <c r="B388" s="90" t="s">
        <v>75</v>
      </c>
      <c r="C388" s="90" t="s">
        <v>75</v>
      </c>
      <c r="D388" s="87" t="s">
        <v>242</v>
      </c>
      <c r="E388" s="87"/>
      <c r="F388" s="51">
        <f>F389+F393</f>
        <v>1473.8408199999999</v>
      </c>
    </row>
    <row r="389" spans="1:6" s="39" customFormat="1" ht="27" x14ac:dyDescent="0.2">
      <c r="A389" s="30" t="s">
        <v>13</v>
      </c>
      <c r="B389" s="90" t="s">
        <v>75</v>
      </c>
      <c r="C389" s="90" t="s">
        <v>75</v>
      </c>
      <c r="D389" s="90" t="s">
        <v>388</v>
      </c>
      <c r="E389" s="87"/>
      <c r="F389" s="42">
        <f>F390</f>
        <v>102.04082</v>
      </c>
    </row>
    <row r="390" spans="1:6" s="39" customFormat="1" ht="38.25" x14ac:dyDescent="0.2">
      <c r="A390" s="29" t="s">
        <v>424</v>
      </c>
      <c r="B390" s="88" t="s">
        <v>75</v>
      </c>
      <c r="C390" s="88" t="s">
        <v>75</v>
      </c>
      <c r="D390" s="88" t="s">
        <v>429</v>
      </c>
      <c r="E390" s="87"/>
      <c r="F390" s="5">
        <f>F391</f>
        <v>102.04082</v>
      </c>
    </row>
    <row r="391" spans="1:6" s="39" customFormat="1" ht="25.5" x14ac:dyDescent="0.2">
      <c r="A391" s="96" t="s">
        <v>431</v>
      </c>
      <c r="B391" s="88" t="s">
        <v>75</v>
      </c>
      <c r="C391" s="88" t="s">
        <v>75</v>
      </c>
      <c r="D391" s="88" t="s">
        <v>430</v>
      </c>
      <c r="E391" s="87"/>
      <c r="F391" s="5">
        <f>F392</f>
        <v>102.04082</v>
      </c>
    </row>
    <row r="392" spans="1:6" x14ac:dyDescent="0.2">
      <c r="A392" s="89" t="s">
        <v>432</v>
      </c>
      <c r="B392" s="86" t="s">
        <v>75</v>
      </c>
      <c r="C392" s="86" t="s">
        <v>75</v>
      </c>
      <c r="D392" s="86" t="s">
        <v>430</v>
      </c>
      <c r="E392" s="86" t="s">
        <v>124</v>
      </c>
      <c r="F392" s="94">
        <v>102.04082</v>
      </c>
    </row>
    <row r="393" spans="1:6" s="66" customFormat="1" ht="27" x14ac:dyDescent="0.25">
      <c r="A393" s="41" t="s">
        <v>9</v>
      </c>
      <c r="B393" s="7" t="s">
        <v>75</v>
      </c>
      <c r="C393" s="7" t="s">
        <v>75</v>
      </c>
      <c r="D393" s="7" t="s">
        <v>475</v>
      </c>
      <c r="E393" s="7"/>
      <c r="F393" s="93">
        <f>F395</f>
        <v>1371.8</v>
      </c>
    </row>
    <row r="394" spans="1:6" s="66" customFormat="1" ht="25.5" x14ac:dyDescent="0.25">
      <c r="A394" s="23" t="s">
        <v>423</v>
      </c>
      <c r="B394" s="4" t="s">
        <v>75</v>
      </c>
      <c r="C394" s="4" t="s">
        <v>75</v>
      </c>
      <c r="D394" s="4" t="s">
        <v>15</v>
      </c>
      <c r="E394" s="4"/>
      <c r="F394" s="92">
        <f>F395</f>
        <v>1371.8</v>
      </c>
    </row>
    <row r="395" spans="1:6" s="39" customFormat="1" ht="38.25" x14ac:dyDescent="0.2">
      <c r="A395" s="23" t="s">
        <v>362</v>
      </c>
      <c r="B395" s="4" t="s">
        <v>75</v>
      </c>
      <c r="C395" s="4" t="s">
        <v>75</v>
      </c>
      <c r="D395" s="4" t="s">
        <v>23</v>
      </c>
      <c r="E395" s="4"/>
      <c r="F395" s="92">
        <f>F396</f>
        <v>1371.8</v>
      </c>
    </row>
    <row r="396" spans="1:6" ht="51" x14ac:dyDescent="0.2">
      <c r="A396" s="14" t="s">
        <v>133</v>
      </c>
      <c r="B396" s="6" t="s">
        <v>75</v>
      </c>
      <c r="C396" s="6" t="s">
        <v>75</v>
      </c>
      <c r="D396" s="6" t="s">
        <v>23</v>
      </c>
      <c r="E396" s="6" t="s">
        <v>137</v>
      </c>
      <c r="F396" s="82">
        <v>1371.8</v>
      </c>
    </row>
    <row r="397" spans="1:6" s="39" customFormat="1" ht="25.5" x14ac:dyDescent="0.2">
      <c r="A397" s="33" t="s">
        <v>24</v>
      </c>
      <c r="B397" s="10" t="s">
        <v>75</v>
      </c>
      <c r="C397" s="10" t="s">
        <v>75</v>
      </c>
      <c r="D397" s="10" t="s">
        <v>264</v>
      </c>
      <c r="E397" s="10"/>
      <c r="F397" s="51">
        <f>F398</f>
        <v>11010.759999999998</v>
      </c>
    </row>
    <row r="398" spans="1:6" s="39" customFormat="1" ht="13.5" x14ac:dyDescent="0.2">
      <c r="A398" s="30" t="s">
        <v>407</v>
      </c>
      <c r="B398" s="7" t="s">
        <v>75</v>
      </c>
      <c r="C398" s="7" t="s">
        <v>75</v>
      </c>
      <c r="D398" s="7" t="s">
        <v>265</v>
      </c>
      <c r="E398" s="7"/>
      <c r="F398" s="42">
        <f>F399</f>
        <v>11010.759999999998</v>
      </c>
    </row>
    <row r="399" spans="1:6" s="39" customFormat="1" ht="25.5" x14ac:dyDescent="0.2">
      <c r="A399" s="29" t="s">
        <v>266</v>
      </c>
      <c r="B399" s="4" t="s">
        <v>75</v>
      </c>
      <c r="C399" s="4" t="s">
        <v>75</v>
      </c>
      <c r="D399" s="4" t="s">
        <v>267</v>
      </c>
      <c r="E399" s="10"/>
      <c r="F399" s="5">
        <f>F400+F402+F404</f>
        <v>11010.759999999998</v>
      </c>
    </row>
    <row r="400" spans="1:6" s="39" customFormat="1" ht="25.5" x14ac:dyDescent="0.2">
      <c r="A400" s="23" t="s">
        <v>168</v>
      </c>
      <c r="B400" s="4" t="s">
        <v>75</v>
      </c>
      <c r="C400" s="4" t="s">
        <v>75</v>
      </c>
      <c r="D400" s="4" t="s">
        <v>268</v>
      </c>
      <c r="E400" s="4"/>
      <c r="F400" s="5">
        <f>SUM(F401:F401)</f>
        <v>5352.5</v>
      </c>
    </row>
    <row r="401" spans="1:6" s="39" customFormat="1" ht="25.5" x14ac:dyDescent="0.2">
      <c r="A401" s="13" t="s">
        <v>25</v>
      </c>
      <c r="B401" s="6" t="s">
        <v>75</v>
      </c>
      <c r="C401" s="6" t="s">
        <v>75</v>
      </c>
      <c r="D401" s="6" t="s">
        <v>268</v>
      </c>
      <c r="E401" s="6" t="s">
        <v>26</v>
      </c>
      <c r="F401" s="92">
        <f>5352.5</f>
        <v>5352.5</v>
      </c>
    </row>
    <row r="402" spans="1:6" s="39" customFormat="1" ht="25.5" x14ac:dyDescent="0.2">
      <c r="A402" s="16" t="s">
        <v>299</v>
      </c>
      <c r="B402" s="4" t="s">
        <v>75</v>
      </c>
      <c r="C402" s="4" t="s">
        <v>75</v>
      </c>
      <c r="D402" s="4" t="s">
        <v>269</v>
      </c>
      <c r="E402" s="4"/>
      <c r="F402" s="92">
        <f>SUM(F403:F403)</f>
        <v>5577.96</v>
      </c>
    </row>
    <row r="403" spans="1:6" s="39" customFormat="1" ht="25.5" x14ac:dyDescent="0.2">
      <c r="A403" s="13" t="s">
        <v>25</v>
      </c>
      <c r="B403" s="6" t="s">
        <v>75</v>
      </c>
      <c r="C403" s="6" t="s">
        <v>75</v>
      </c>
      <c r="D403" s="6" t="s">
        <v>269</v>
      </c>
      <c r="E403" s="6" t="s">
        <v>26</v>
      </c>
      <c r="F403" s="82">
        <v>5577.96</v>
      </c>
    </row>
    <row r="404" spans="1:6" s="39" customFormat="1" ht="38.25" x14ac:dyDescent="0.2">
      <c r="A404" s="23" t="s">
        <v>300</v>
      </c>
      <c r="B404" s="4" t="s">
        <v>75</v>
      </c>
      <c r="C404" s="4" t="s">
        <v>75</v>
      </c>
      <c r="D404" s="4" t="s">
        <v>309</v>
      </c>
      <c r="E404" s="4"/>
      <c r="F404" s="92">
        <f>F405+F406</f>
        <v>80.300000000000011</v>
      </c>
    </row>
    <row r="405" spans="1:6" s="39" customFormat="1" x14ac:dyDescent="0.2">
      <c r="A405" s="36" t="s">
        <v>290</v>
      </c>
      <c r="B405" s="6" t="s">
        <v>75</v>
      </c>
      <c r="C405" s="6" t="s">
        <v>75</v>
      </c>
      <c r="D405" s="6" t="s">
        <v>309</v>
      </c>
      <c r="E405" s="6" t="s">
        <v>151</v>
      </c>
      <c r="F405" s="82">
        <v>61.7</v>
      </c>
    </row>
    <row r="406" spans="1:6" s="39" customFormat="1" ht="38.25" x14ac:dyDescent="0.2">
      <c r="A406" s="13" t="s">
        <v>287</v>
      </c>
      <c r="B406" s="6" t="s">
        <v>75</v>
      </c>
      <c r="C406" s="6" t="s">
        <v>75</v>
      </c>
      <c r="D406" s="6" t="s">
        <v>309</v>
      </c>
      <c r="E406" s="6" t="s">
        <v>203</v>
      </c>
      <c r="F406" s="82">
        <v>18.600000000000001</v>
      </c>
    </row>
    <row r="407" spans="1:6" s="39" customFormat="1" x14ac:dyDescent="0.2">
      <c r="A407" s="26" t="s">
        <v>68</v>
      </c>
      <c r="B407" s="8" t="s">
        <v>75</v>
      </c>
      <c r="C407" s="8" t="s">
        <v>77</v>
      </c>
      <c r="D407" s="8"/>
      <c r="E407" s="8"/>
      <c r="F407" s="50">
        <f>F408</f>
        <v>34581.827949999999</v>
      </c>
    </row>
    <row r="408" spans="1:6" s="39" customFormat="1" ht="25.5" x14ac:dyDescent="0.2">
      <c r="A408" s="33" t="s">
        <v>24</v>
      </c>
      <c r="B408" s="10" t="s">
        <v>75</v>
      </c>
      <c r="C408" s="10" t="s">
        <v>77</v>
      </c>
      <c r="D408" s="10" t="s">
        <v>243</v>
      </c>
      <c r="E408" s="10"/>
      <c r="F408" s="51">
        <f>F414+F409+F433</f>
        <v>34581.827949999999</v>
      </c>
    </row>
    <row r="409" spans="1:6" s="39" customFormat="1" ht="13.5" x14ac:dyDescent="0.2">
      <c r="A409" s="30" t="s">
        <v>407</v>
      </c>
      <c r="B409" s="7" t="s">
        <v>75</v>
      </c>
      <c r="C409" s="7" t="s">
        <v>77</v>
      </c>
      <c r="D409" s="7" t="s">
        <v>265</v>
      </c>
      <c r="E409" s="7"/>
      <c r="F409" s="42">
        <f>F410</f>
        <v>83.668999999999997</v>
      </c>
    </row>
    <row r="410" spans="1:6" s="39" customFormat="1" ht="25.5" x14ac:dyDescent="0.2">
      <c r="A410" s="29" t="s">
        <v>266</v>
      </c>
      <c r="B410" s="4" t="s">
        <v>75</v>
      </c>
      <c r="C410" s="4" t="s">
        <v>77</v>
      </c>
      <c r="D410" s="4" t="s">
        <v>267</v>
      </c>
      <c r="E410" s="10"/>
      <c r="F410" s="5">
        <f>F411</f>
        <v>83.668999999999997</v>
      </c>
    </row>
    <row r="411" spans="1:6" s="39" customFormat="1" ht="38.25" x14ac:dyDescent="0.2">
      <c r="A411" s="16" t="s">
        <v>292</v>
      </c>
      <c r="B411" s="4" t="s">
        <v>75</v>
      </c>
      <c r="C411" s="4" t="s">
        <v>77</v>
      </c>
      <c r="D411" s="4" t="s">
        <v>291</v>
      </c>
      <c r="E411" s="4"/>
      <c r="F411" s="92">
        <f>F412+F413</f>
        <v>83.668999999999997</v>
      </c>
    </row>
    <row r="412" spans="1:6" s="39" customFormat="1" x14ac:dyDescent="0.2">
      <c r="A412" s="36" t="s">
        <v>290</v>
      </c>
      <c r="B412" s="6" t="s">
        <v>75</v>
      </c>
      <c r="C412" s="6" t="s">
        <v>77</v>
      </c>
      <c r="D412" s="6" t="s">
        <v>291</v>
      </c>
      <c r="E412" s="6" t="s">
        <v>151</v>
      </c>
      <c r="F412" s="82">
        <v>64.262</v>
      </c>
    </row>
    <row r="413" spans="1:6" s="39" customFormat="1" ht="38.25" x14ac:dyDescent="0.2">
      <c r="A413" s="13" t="s">
        <v>287</v>
      </c>
      <c r="B413" s="6" t="s">
        <v>75</v>
      </c>
      <c r="C413" s="6" t="s">
        <v>77</v>
      </c>
      <c r="D413" s="6" t="s">
        <v>291</v>
      </c>
      <c r="E413" s="6" t="s">
        <v>203</v>
      </c>
      <c r="F413" s="82">
        <v>19.407</v>
      </c>
    </row>
    <row r="414" spans="1:6" s="39" customFormat="1" ht="27" x14ac:dyDescent="0.2">
      <c r="A414" s="30" t="s">
        <v>408</v>
      </c>
      <c r="B414" s="10" t="s">
        <v>75</v>
      </c>
      <c r="C414" s="10" t="s">
        <v>77</v>
      </c>
      <c r="D414" s="10" t="s">
        <v>270</v>
      </c>
      <c r="E414" s="10"/>
      <c r="F414" s="103">
        <f>F415</f>
        <v>34200.158949999997</v>
      </c>
    </row>
    <row r="415" spans="1:6" s="39" customFormat="1" ht="25.5" x14ac:dyDescent="0.2">
      <c r="A415" s="29" t="s">
        <v>271</v>
      </c>
      <c r="B415" s="4" t="s">
        <v>75</v>
      </c>
      <c r="C415" s="4" t="s">
        <v>77</v>
      </c>
      <c r="D415" s="4" t="s">
        <v>272</v>
      </c>
      <c r="E415" s="4"/>
      <c r="F415" s="92">
        <f>F418+F421+F416+F430</f>
        <v>34200.158949999997</v>
      </c>
    </row>
    <row r="416" spans="1:6" s="39" customFormat="1" ht="89.25" x14ac:dyDescent="0.2">
      <c r="A416" s="23" t="s">
        <v>112</v>
      </c>
      <c r="B416" s="4" t="s">
        <v>75</v>
      </c>
      <c r="C416" s="4" t="s">
        <v>77</v>
      </c>
      <c r="D416" s="4" t="s">
        <v>275</v>
      </c>
      <c r="E416" s="4"/>
      <c r="F416" s="92">
        <f>F417</f>
        <v>87.2</v>
      </c>
    </row>
    <row r="417" spans="1:6" s="39" customFormat="1" ht="25.5" x14ac:dyDescent="0.2">
      <c r="A417" s="13" t="s">
        <v>123</v>
      </c>
      <c r="B417" s="6" t="s">
        <v>75</v>
      </c>
      <c r="C417" s="6" t="s">
        <v>77</v>
      </c>
      <c r="D417" s="6" t="s">
        <v>275</v>
      </c>
      <c r="E417" s="6" t="s">
        <v>124</v>
      </c>
      <c r="F417" s="19">
        <v>87.2</v>
      </c>
    </row>
    <row r="418" spans="1:6" s="39" customFormat="1" ht="25.5" x14ac:dyDescent="0.2">
      <c r="A418" s="29" t="s">
        <v>147</v>
      </c>
      <c r="B418" s="4" t="s">
        <v>75</v>
      </c>
      <c r="C418" s="4" t="s">
        <v>77</v>
      </c>
      <c r="D418" s="4" t="s">
        <v>289</v>
      </c>
      <c r="E418" s="4"/>
      <c r="F418" s="5">
        <f>F419+F420</f>
        <v>830.3</v>
      </c>
    </row>
    <row r="419" spans="1:6" s="39" customFormat="1" ht="25.5" x14ac:dyDescent="0.2">
      <c r="A419" s="36" t="s">
        <v>182</v>
      </c>
      <c r="B419" s="6" t="s">
        <v>75</v>
      </c>
      <c r="C419" s="6" t="s">
        <v>77</v>
      </c>
      <c r="D419" s="6" t="s">
        <v>289</v>
      </c>
      <c r="E419" s="6" t="s">
        <v>120</v>
      </c>
      <c r="F419" s="19">
        <v>611.6</v>
      </c>
    </row>
    <row r="420" spans="1:6" ht="38.25" x14ac:dyDescent="0.2">
      <c r="A420" s="13" t="s">
        <v>183</v>
      </c>
      <c r="B420" s="6" t="s">
        <v>75</v>
      </c>
      <c r="C420" s="6" t="s">
        <v>77</v>
      </c>
      <c r="D420" s="6" t="s">
        <v>289</v>
      </c>
      <c r="E420" s="6" t="s">
        <v>176</v>
      </c>
      <c r="F420" s="19">
        <v>218.7</v>
      </c>
    </row>
    <row r="421" spans="1:6" ht="51" x14ac:dyDescent="0.2">
      <c r="A421" s="23" t="s">
        <v>273</v>
      </c>
      <c r="B421" s="4" t="s">
        <v>75</v>
      </c>
      <c r="C421" s="4" t="s">
        <v>77</v>
      </c>
      <c r="D421" s="4" t="s">
        <v>274</v>
      </c>
      <c r="E421" s="4"/>
      <c r="F421" s="5">
        <f>SUM(F422:F429)</f>
        <v>4701.15895</v>
      </c>
    </row>
    <row r="422" spans="1:6" x14ac:dyDescent="0.2">
      <c r="A422" s="36" t="s">
        <v>286</v>
      </c>
      <c r="B422" s="6" t="s">
        <v>75</v>
      </c>
      <c r="C422" s="6" t="s">
        <v>77</v>
      </c>
      <c r="D422" s="6" t="s">
        <v>274</v>
      </c>
      <c r="E422" s="6" t="s">
        <v>151</v>
      </c>
      <c r="F422" s="19">
        <v>392.1</v>
      </c>
    </row>
    <row r="423" spans="1:6" ht="25.5" x14ac:dyDescent="0.2">
      <c r="A423" s="13" t="s">
        <v>283</v>
      </c>
      <c r="B423" s="6" t="s">
        <v>75</v>
      </c>
      <c r="C423" s="6" t="s">
        <v>77</v>
      </c>
      <c r="D423" s="6" t="s">
        <v>274</v>
      </c>
      <c r="E423" s="6" t="s">
        <v>494</v>
      </c>
      <c r="F423" s="19">
        <v>9.4499999999999993</v>
      </c>
    </row>
    <row r="424" spans="1:6" ht="38.25" x14ac:dyDescent="0.2">
      <c r="A424" s="13" t="s">
        <v>287</v>
      </c>
      <c r="B424" s="6" t="s">
        <v>75</v>
      </c>
      <c r="C424" s="6" t="s">
        <v>77</v>
      </c>
      <c r="D424" s="6" t="s">
        <v>274</v>
      </c>
      <c r="E424" s="6" t="s">
        <v>203</v>
      </c>
      <c r="F424" s="19">
        <v>108.95</v>
      </c>
    </row>
    <row r="425" spans="1:6" ht="25.5" x14ac:dyDescent="0.2">
      <c r="A425" s="13" t="s">
        <v>121</v>
      </c>
      <c r="B425" s="6" t="s">
        <v>75</v>
      </c>
      <c r="C425" s="6" t="s">
        <v>77</v>
      </c>
      <c r="D425" s="6" t="s">
        <v>274</v>
      </c>
      <c r="E425" s="6" t="s">
        <v>122</v>
      </c>
      <c r="F425" s="19">
        <f>250+453.3</f>
        <v>703.3</v>
      </c>
    </row>
    <row r="426" spans="1:6" s="39" customFormat="1" ht="25.5" x14ac:dyDescent="0.2">
      <c r="A426" s="13" t="s">
        <v>123</v>
      </c>
      <c r="B426" s="6" t="s">
        <v>75</v>
      </c>
      <c r="C426" s="6" t="s">
        <v>77</v>
      </c>
      <c r="D426" s="6" t="s">
        <v>274</v>
      </c>
      <c r="E426" s="6" t="s">
        <v>124</v>
      </c>
      <c r="F426" s="19">
        <v>2546.77711</v>
      </c>
    </row>
    <row r="427" spans="1:6" s="39" customFormat="1" x14ac:dyDescent="0.2">
      <c r="A427" s="13" t="s">
        <v>435</v>
      </c>
      <c r="B427" s="6" t="s">
        <v>75</v>
      </c>
      <c r="C427" s="6" t="s">
        <v>77</v>
      </c>
      <c r="D427" s="6" t="s">
        <v>274</v>
      </c>
      <c r="E427" s="6" t="s">
        <v>434</v>
      </c>
      <c r="F427" s="19">
        <v>856.38184000000001</v>
      </c>
    </row>
    <row r="428" spans="1:6" s="39" customFormat="1" ht="25.5" x14ac:dyDescent="0.2">
      <c r="A428" s="13" t="s">
        <v>541</v>
      </c>
      <c r="B428" s="6" t="s">
        <v>75</v>
      </c>
      <c r="C428" s="6" t="s">
        <v>77</v>
      </c>
      <c r="D428" s="6" t="s">
        <v>274</v>
      </c>
      <c r="E428" s="6" t="s">
        <v>507</v>
      </c>
      <c r="F428" s="19">
        <v>35.700000000000003</v>
      </c>
    </row>
    <row r="429" spans="1:6" s="39" customFormat="1" x14ac:dyDescent="0.2">
      <c r="A429" s="13" t="s">
        <v>509</v>
      </c>
      <c r="B429" s="6" t="s">
        <v>75</v>
      </c>
      <c r="C429" s="6" t="s">
        <v>77</v>
      </c>
      <c r="D429" s="6" t="s">
        <v>274</v>
      </c>
      <c r="E429" s="6" t="s">
        <v>508</v>
      </c>
      <c r="F429" s="19">
        <v>48.5</v>
      </c>
    </row>
    <row r="430" spans="1:6" s="39" customFormat="1" ht="25.5" x14ac:dyDescent="0.2">
      <c r="A430" s="29" t="s">
        <v>496</v>
      </c>
      <c r="B430" s="4" t="s">
        <v>75</v>
      </c>
      <c r="C430" s="4" t="s">
        <v>77</v>
      </c>
      <c r="D430" s="4" t="s">
        <v>498</v>
      </c>
      <c r="E430" s="4"/>
      <c r="F430" s="92">
        <f>F431+F432</f>
        <v>28581.5</v>
      </c>
    </row>
    <row r="431" spans="1:6" s="39" customFormat="1" x14ac:dyDescent="0.2">
      <c r="A431" s="36" t="s">
        <v>285</v>
      </c>
      <c r="B431" s="6" t="s">
        <v>75</v>
      </c>
      <c r="C431" s="6" t="s">
        <v>77</v>
      </c>
      <c r="D431" s="6" t="s">
        <v>499</v>
      </c>
      <c r="E431" s="6" t="s">
        <v>151</v>
      </c>
      <c r="F431" s="82">
        <v>21952</v>
      </c>
    </row>
    <row r="432" spans="1:6" s="39" customFormat="1" ht="38.25" x14ac:dyDescent="0.2">
      <c r="A432" s="13" t="s">
        <v>287</v>
      </c>
      <c r="B432" s="6" t="s">
        <v>75</v>
      </c>
      <c r="C432" s="6" t="s">
        <v>77</v>
      </c>
      <c r="D432" s="6" t="s">
        <v>498</v>
      </c>
      <c r="E432" s="6" t="s">
        <v>203</v>
      </c>
      <c r="F432" s="82">
        <v>6629.5</v>
      </c>
    </row>
    <row r="433" spans="1:6" ht="13.5" x14ac:dyDescent="0.2">
      <c r="A433" s="59" t="s">
        <v>409</v>
      </c>
      <c r="B433" s="10" t="s">
        <v>75</v>
      </c>
      <c r="C433" s="10" t="s">
        <v>77</v>
      </c>
      <c r="D433" s="10" t="s">
        <v>314</v>
      </c>
      <c r="E433" s="10"/>
      <c r="F433" s="51">
        <f>F434+F437</f>
        <v>298</v>
      </c>
    </row>
    <row r="434" spans="1:6" ht="25.5" x14ac:dyDescent="0.2">
      <c r="A434" s="60" t="s">
        <v>315</v>
      </c>
      <c r="B434" s="4" t="s">
        <v>75</v>
      </c>
      <c r="C434" s="4" t="s">
        <v>77</v>
      </c>
      <c r="D434" s="4" t="s">
        <v>316</v>
      </c>
      <c r="E434" s="4"/>
      <c r="F434" s="5">
        <f>F435</f>
        <v>200</v>
      </c>
    </row>
    <row r="435" spans="1:6" ht="25.5" x14ac:dyDescent="0.2">
      <c r="A435" s="13" t="s">
        <v>123</v>
      </c>
      <c r="B435" s="4" t="s">
        <v>75</v>
      </c>
      <c r="C435" s="4" t="s">
        <v>77</v>
      </c>
      <c r="D435" s="4" t="s">
        <v>318</v>
      </c>
      <c r="E435" s="4"/>
      <c r="F435" s="5">
        <f>F436</f>
        <v>200</v>
      </c>
    </row>
    <row r="436" spans="1:6" x14ac:dyDescent="0.2">
      <c r="A436" s="61" t="s">
        <v>134</v>
      </c>
      <c r="B436" s="6" t="s">
        <v>75</v>
      </c>
      <c r="C436" s="6" t="s">
        <v>77</v>
      </c>
      <c r="D436" s="6" t="s">
        <v>318</v>
      </c>
      <c r="E436" s="6" t="s">
        <v>124</v>
      </c>
      <c r="F436" s="19">
        <v>200</v>
      </c>
    </row>
    <row r="437" spans="1:6" ht="38.25" x14ac:dyDescent="0.2">
      <c r="A437" s="23" t="s">
        <v>27</v>
      </c>
      <c r="B437" s="4" t="s">
        <v>75</v>
      </c>
      <c r="C437" s="4" t="s">
        <v>77</v>
      </c>
      <c r="D437" s="4" t="s">
        <v>28</v>
      </c>
      <c r="E437" s="71"/>
      <c r="F437" s="5">
        <f>F438</f>
        <v>98</v>
      </c>
    </row>
    <row r="438" spans="1:6" ht="38.25" x14ac:dyDescent="0.2">
      <c r="A438" s="23" t="s">
        <v>29</v>
      </c>
      <c r="B438" s="4" t="s">
        <v>75</v>
      </c>
      <c r="C438" s="4" t="s">
        <v>77</v>
      </c>
      <c r="D438" s="4" t="s">
        <v>30</v>
      </c>
      <c r="E438" s="71"/>
      <c r="F438" s="5">
        <f>F439</f>
        <v>98</v>
      </c>
    </row>
    <row r="439" spans="1:6" ht="25.5" x14ac:dyDescent="0.2">
      <c r="A439" s="13" t="s">
        <v>123</v>
      </c>
      <c r="B439" s="6" t="s">
        <v>75</v>
      </c>
      <c r="C439" s="6" t="s">
        <v>77</v>
      </c>
      <c r="D439" s="6" t="s">
        <v>30</v>
      </c>
      <c r="E439" s="71" t="s">
        <v>124</v>
      </c>
      <c r="F439" s="19">
        <v>98</v>
      </c>
    </row>
    <row r="440" spans="1:6" s="39" customFormat="1" x14ac:dyDescent="0.2">
      <c r="A440" s="20" t="s">
        <v>136</v>
      </c>
      <c r="B440" s="9" t="s">
        <v>88</v>
      </c>
      <c r="C440" s="9"/>
      <c r="D440" s="9"/>
      <c r="E440" s="9"/>
      <c r="F440" s="49">
        <f>F441+F490</f>
        <v>306729.30548000004</v>
      </c>
    </row>
    <row r="441" spans="1:6" x14ac:dyDescent="0.2">
      <c r="A441" s="22" t="s">
        <v>69</v>
      </c>
      <c r="B441" s="8" t="s">
        <v>88</v>
      </c>
      <c r="C441" s="8" t="s">
        <v>72</v>
      </c>
      <c r="D441" s="8"/>
      <c r="E441" s="8"/>
      <c r="F441" s="50">
        <f>F453+F483+F442+F479</f>
        <v>298049.10548000003</v>
      </c>
    </row>
    <row r="442" spans="1:6" s="39" customFormat="1" ht="38.25" x14ac:dyDescent="0.2">
      <c r="A442" s="38" t="s">
        <v>343</v>
      </c>
      <c r="B442" s="10" t="s">
        <v>78</v>
      </c>
      <c r="C442" s="10" t="s">
        <v>72</v>
      </c>
      <c r="D442" s="10" t="s">
        <v>44</v>
      </c>
      <c r="E442" s="10"/>
      <c r="F442" s="51">
        <f>F443</f>
        <v>242226.72</v>
      </c>
    </row>
    <row r="443" spans="1:6" s="39" customFormat="1" ht="51" x14ac:dyDescent="0.2">
      <c r="A443" s="15" t="s">
        <v>535</v>
      </c>
      <c r="B443" s="4" t="s">
        <v>78</v>
      </c>
      <c r="C443" s="4" t="s">
        <v>72</v>
      </c>
      <c r="D443" s="4" t="s">
        <v>530</v>
      </c>
      <c r="E443" s="4"/>
      <c r="F443" s="5">
        <f>F444+F447+F450</f>
        <v>242226.72</v>
      </c>
    </row>
    <row r="444" spans="1:6" s="39" customFormat="1" ht="38.25" x14ac:dyDescent="0.2">
      <c r="A444" s="15" t="s">
        <v>549</v>
      </c>
      <c r="B444" s="4" t="s">
        <v>78</v>
      </c>
      <c r="C444" s="4" t="s">
        <v>72</v>
      </c>
      <c r="D444" s="4" t="s">
        <v>543</v>
      </c>
      <c r="E444" s="4"/>
      <c r="F444" s="5">
        <f>F445</f>
        <v>57885</v>
      </c>
    </row>
    <row r="445" spans="1:6" s="39" customFormat="1" x14ac:dyDescent="0.2">
      <c r="A445" s="15" t="s">
        <v>484</v>
      </c>
      <c r="B445" s="4" t="s">
        <v>78</v>
      </c>
      <c r="C445" s="4" t="s">
        <v>72</v>
      </c>
      <c r="D445" s="4" t="s">
        <v>544</v>
      </c>
      <c r="E445" s="4"/>
      <c r="F445" s="5">
        <f>SUM(F446:F446)</f>
        <v>57885</v>
      </c>
    </row>
    <row r="446" spans="1:6" s="39" customFormat="1" ht="38.25" x14ac:dyDescent="0.2">
      <c r="A446" s="110" t="s">
        <v>504</v>
      </c>
      <c r="B446" s="6" t="s">
        <v>78</v>
      </c>
      <c r="C446" s="6" t="s">
        <v>72</v>
      </c>
      <c r="D446" s="6" t="s">
        <v>544</v>
      </c>
      <c r="E446" s="6" t="s">
        <v>505</v>
      </c>
      <c r="F446" s="19">
        <v>57885</v>
      </c>
    </row>
    <row r="447" spans="1:6" s="39" customFormat="1" ht="38.25" x14ac:dyDescent="0.2">
      <c r="A447" s="15" t="s">
        <v>550</v>
      </c>
      <c r="B447" s="4" t="s">
        <v>78</v>
      </c>
      <c r="C447" s="4" t="s">
        <v>72</v>
      </c>
      <c r="D447" s="4" t="s">
        <v>545</v>
      </c>
      <c r="E447" s="4"/>
      <c r="F447" s="5">
        <f>F448</f>
        <v>71232.36</v>
      </c>
    </row>
    <row r="448" spans="1:6" s="39" customFormat="1" x14ac:dyDescent="0.2">
      <c r="A448" s="15" t="s">
        <v>484</v>
      </c>
      <c r="B448" s="4" t="s">
        <v>78</v>
      </c>
      <c r="C448" s="4" t="s">
        <v>72</v>
      </c>
      <c r="D448" s="4" t="s">
        <v>546</v>
      </c>
      <c r="E448" s="4"/>
      <c r="F448" s="5">
        <f>SUM(F449:F449)</f>
        <v>71232.36</v>
      </c>
    </row>
    <row r="449" spans="1:6" s="39" customFormat="1" x14ac:dyDescent="0.2">
      <c r="A449" s="24" t="s">
        <v>445</v>
      </c>
      <c r="B449" s="6" t="s">
        <v>78</v>
      </c>
      <c r="C449" s="6" t="s">
        <v>72</v>
      </c>
      <c r="D449" s="6" t="s">
        <v>546</v>
      </c>
      <c r="E449" s="6" t="s">
        <v>145</v>
      </c>
      <c r="F449" s="19">
        <v>71232.36</v>
      </c>
    </row>
    <row r="450" spans="1:6" s="39" customFormat="1" ht="38.25" x14ac:dyDescent="0.2">
      <c r="A450" s="15" t="s">
        <v>551</v>
      </c>
      <c r="B450" s="4" t="s">
        <v>78</v>
      </c>
      <c r="C450" s="4" t="s">
        <v>72</v>
      </c>
      <c r="D450" s="4" t="s">
        <v>547</v>
      </c>
      <c r="E450" s="4"/>
      <c r="F450" s="5">
        <f>F451</f>
        <v>113109.36</v>
      </c>
    </row>
    <row r="451" spans="1:6" s="39" customFormat="1" x14ac:dyDescent="0.2">
      <c r="A451" s="15" t="s">
        <v>484</v>
      </c>
      <c r="B451" s="4" t="s">
        <v>78</v>
      </c>
      <c r="C451" s="4" t="s">
        <v>72</v>
      </c>
      <c r="D451" s="4" t="s">
        <v>548</v>
      </c>
      <c r="E451" s="4"/>
      <c r="F451" s="5">
        <f>SUM(F452:F452)</f>
        <v>113109.36</v>
      </c>
    </row>
    <row r="452" spans="1:6" s="39" customFormat="1" x14ac:dyDescent="0.2">
      <c r="A452" s="24" t="s">
        <v>445</v>
      </c>
      <c r="B452" s="6" t="s">
        <v>78</v>
      </c>
      <c r="C452" s="6" t="s">
        <v>72</v>
      </c>
      <c r="D452" s="6" t="s">
        <v>548</v>
      </c>
      <c r="E452" s="6" t="s">
        <v>145</v>
      </c>
      <c r="F452" s="19">
        <v>113109.36</v>
      </c>
    </row>
    <row r="453" spans="1:6" ht="25.5" x14ac:dyDescent="0.2">
      <c r="A453" s="17" t="s">
        <v>376</v>
      </c>
      <c r="B453" s="10" t="s">
        <v>78</v>
      </c>
      <c r="C453" s="10" t="s">
        <v>72</v>
      </c>
      <c r="D453" s="10" t="s">
        <v>217</v>
      </c>
      <c r="E453" s="10"/>
      <c r="F453" s="51">
        <f>F474+F464+F454</f>
        <v>47571.195480000009</v>
      </c>
    </row>
    <row r="454" spans="1:6" s="39" customFormat="1" ht="13.5" x14ac:dyDescent="0.2">
      <c r="A454" s="41" t="s">
        <v>6</v>
      </c>
      <c r="B454" s="7" t="s">
        <v>88</v>
      </c>
      <c r="C454" s="7" t="s">
        <v>72</v>
      </c>
      <c r="D454" s="7" t="s">
        <v>223</v>
      </c>
      <c r="E454" s="7"/>
      <c r="F454" s="42">
        <f>F455</f>
        <v>17559.186410000002</v>
      </c>
    </row>
    <row r="455" spans="1:6" ht="25.5" x14ac:dyDescent="0.2">
      <c r="A455" s="23" t="s">
        <v>224</v>
      </c>
      <c r="B455" s="4" t="s">
        <v>78</v>
      </c>
      <c r="C455" s="4" t="s">
        <v>72</v>
      </c>
      <c r="D455" s="4" t="s">
        <v>225</v>
      </c>
      <c r="E455" s="4"/>
      <c r="F455" s="5">
        <f>F462+F456+F458+F460</f>
        <v>17559.186410000002</v>
      </c>
    </row>
    <row r="456" spans="1:6" ht="25.5" x14ac:dyDescent="0.2">
      <c r="A456" s="21" t="s">
        <v>226</v>
      </c>
      <c r="B456" s="4" t="s">
        <v>78</v>
      </c>
      <c r="C456" s="4" t="s">
        <v>72</v>
      </c>
      <c r="D456" s="4" t="s">
        <v>227</v>
      </c>
      <c r="E456" s="4"/>
      <c r="F456" s="92">
        <f>F457</f>
        <v>6118.8990000000003</v>
      </c>
    </row>
    <row r="457" spans="1:6" ht="51" x14ac:dyDescent="0.2">
      <c r="A457" s="14" t="s">
        <v>132</v>
      </c>
      <c r="B457" s="6" t="s">
        <v>78</v>
      </c>
      <c r="C457" s="6" t="s">
        <v>72</v>
      </c>
      <c r="D457" s="6" t="s">
        <v>227</v>
      </c>
      <c r="E457" s="6" t="s">
        <v>138</v>
      </c>
      <c r="F457" s="82">
        <v>6118.8990000000003</v>
      </c>
    </row>
    <row r="458" spans="1:6" x14ac:dyDescent="0.2">
      <c r="A458" s="21" t="s">
        <v>595</v>
      </c>
      <c r="B458" s="4" t="s">
        <v>78</v>
      </c>
      <c r="C458" s="4" t="s">
        <v>72</v>
      </c>
      <c r="D458" s="4" t="s">
        <v>596</v>
      </c>
      <c r="E458" s="4"/>
      <c r="F458" s="92">
        <f>F459</f>
        <v>256.46740999999997</v>
      </c>
    </row>
    <row r="459" spans="1:6" x14ac:dyDescent="0.2">
      <c r="A459" s="61" t="s">
        <v>134</v>
      </c>
      <c r="B459" s="6" t="s">
        <v>78</v>
      </c>
      <c r="C459" s="6" t="s">
        <v>72</v>
      </c>
      <c r="D459" s="6" t="s">
        <v>596</v>
      </c>
      <c r="E459" s="6" t="s">
        <v>135</v>
      </c>
      <c r="F459" s="82">
        <v>256.46740999999997</v>
      </c>
    </row>
    <row r="460" spans="1:6" s="39" customFormat="1" ht="25.5" x14ac:dyDescent="0.2">
      <c r="A460" s="29" t="s">
        <v>496</v>
      </c>
      <c r="B460" s="4" t="s">
        <v>78</v>
      </c>
      <c r="C460" s="4" t="s">
        <v>72</v>
      </c>
      <c r="D460" s="4" t="s">
        <v>597</v>
      </c>
      <c r="E460" s="4"/>
      <c r="F460" s="92">
        <f>F461</f>
        <v>3000</v>
      </c>
    </row>
    <row r="461" spans="1:6" s="39" customFormat="1" ht="51" x14ac:dyDescent="0.2">
      <c r="A461" s="24" t="s">
        <v>132</v>
      </c>
      <c r="B461" s="6" t="s">
        <v>78</v>
      </c>
      <c r="C461" s="6" t="s">
        <v>72</v>
      </c>
      <c r="D461" s="6" t="s">
        <v>597</v>
      </c>
      <c r="E461" s="6" t="s">
        <v>138</v>
      </c>
      <c r="F461" s="82">
        <v>3000</v>
      </c>
    </row>
    <row r="462" spans="1:6" ht="25.5" x14ac:dyDescent="0.2">
      <c r="A462" s="21" t="s">
        <v>228</v>
      </c>
      <c r="B462" s="4" t="s">
        <v>78</v>
      </c>
      <c r="C462" s="4" t="s">
        <v>72</v>
      </c>
      <c r="D462" s="4" t="s">
        <v>359</v>
      </c>
      <c r="E462" s="4"/>
      <c r="F462" s="5">
        <f>F463</f>
        <v>8183.82</v>
      </c>
    </row>
    <row r="463" spans="1:6" s="39" customFormat="1" ht="51" x14ac:dyDescent="0.2">
      <c r="A463" s="14" t="s">
        <v>132</v>
      </c>
      <c r="B463" s="6" t="s">
        <v>78</v>
      </c>
      <c r="C463" s="6" t="s">
        <v>72</v>
      </c>
      <c r="D463" s="6" t="s">
        <v>359</v>
      </c>
      <c r="E463" s="6" t="s">
        <v>138</v>
      </c>
      <c r="F463" s="82">
        <v>8183.82</v>
      </c>
    </row>
    <row r="464" spans="1:6" ht="27" x14ac:dyDescent="0.25">
      <c r="A464" s="63" t="s">
        <v>7</v>
      </c>
      <c r="B464" s="7" t="s">
        <v>88</v>
      </c>
      <c r="C464" s="7" t="s">
        <v>72</v>
      </c>
      <c r="D464" s="7" t="s">
        <v>229</v>
      </c>
      <c r="E464" s="7"/>
      <c r="F464" s="42">
        <f>F465</f>
        <v>28930.008070000003</v>
      </c>
    </row>
    <row r="465" spans="1:6" ht="25.5" x14ac:dyDescent="0.2">
      <c r="A465" s="23" t="s">
        <v>230</v>
      </c>
      <c r="B465" s="4" t="s">
        <v>78</v>
      </c>
      <c r="C465" s="4" t="s">
        <v>72</v>
      </c>
      <c r="D465" s="4" t="s">
        <v>231</v>
      </c>
      <c r="E465" s="4"/>
      <c r="F465" s="5">
        <f>F472+F466+F468+F470</f>
        <v>28930.008070000003</v>
      </c>
    </row>
    <row r="466" spans="1:6" ht="38.25" x14ac:dyDescent="0.2">
      <c r="A466" s="21" t="s">
        <v>232</v>
      </c>
      <c r="B466" s="4" t="s">
        <v>88</v>
      </c>
      <c r="C466" s="4" t="s">
        <v>72</v>
      </c>
      <c r="D466" s="4" t="s">
        <v>233</v>
      </c>
      <c r="E466" s="4"/>
      <c r="F466" s="92">
        <f>SUM(F467:F467)</f>
        <v>8340.9</v>
      </c>
    </row>
    <row r="467" spans="1:6" ht="51" x14ac:dyDescent="0.2">
      <c r="A467" s="24" t="s">
        <v>133</v>
      </c>
      <c r="B467" s="6" t="s">
        <v>78</v>
      </c>
      <c r="C467" s="6" t="s">
        <v>72</v>
      </c>
      <c r="D467" s="6" t="s">
        <v>233</v>
      </c>
      <c r="E467" s="6" t="s">
        <v>137</v>
      </c>
      <c r="F467" s="82">
        <v>8340.9</v>
      </c>
    </row>
    <row r="468" spans="1:6" ht="38.25" x14ac:dyDescent="0.2">
      <c r="A468" s="21" t="s">
        <v>598</v>
      </c>
      <c r="B468" s="4" t="s">
        <v>78</v>
      </c>
      <c r="C468" s="4" t="s">
        <v>72</v>
      </c>
      <c r="D468" s="4" t="s">
        <v>599</v>
      </c>
      <c r="E468" s="4"/>
      <c r="F468" s="5">
        <f>F469</f>
        <v>983.31807000000003</v>
      </c>
    </row>
    <row r="469" spans="1:6" x14ac:dyDescent="0.2">
      <c r="A469" s="24" t="s">
        <v>144</v>
      </c>
      <c r="B469" s="6" t="s">
        <v>78</v>
      </c>
      <c r="C469" s="6" t="s">
        <v>72</v>
      </c>
      <c r="D469" s="6" t="s">
        <v>599</v>
      </c>
      <c r="E469" s="6" t="s">
        <v>145</v>
      </c>
      <c r="F469" s="19">
        <v>983.31807000000003</v>
      </c>
    </row>
    <row r="470" spans="1:6" ht="25.5" x14ac:dyDescent="0.2">
      <c r="A470" s="29" t="s">
        <v>496</v>
      </c>
      <c r="B470" s="4" t="s">
        <v>78</v>
      </c>
      <c r="C470" s="4" t="s">
        <v>72</v>
      </c>
      <c r="D470" s="4" t="s">
        <v>600</v>
      </c>
      <c r="E470" s="4"/>
      <c r="F470" s="5">
        <f>F471</f>
        <v>6000</v>
      </c>
    </row>
    <row r="471" spans="1:6" ht="51" x14ac:dyDescent="0.2">
      <c r="A471" s="24" t="s">
        <v>133</v>
      </c>
      <c r="B471" s="6" t="s">
        <v>78</v>
      </c>
      <c r="C471" s="6" t="s">
        <v>72</v>
      </c>
      <c r="D471" s="6" t="s">
        <v>600</v>
      </c>
      <c r="E471" s="6" t="s">
        <v>137</v>
      </c>
      <c r="F471" s="82">
        <v>6000</v>
      </c>
    </row>
    <row r="472" spans="1:6" ht="25.5" x14ac:dyDescent="0.2">
      <c r="A472" s="21" t="s">
        <v>228</v>
      </c>
      <c r="B472" s="4" t="s">
        <v>78</v>
      </c>
      <c r="C472" s="4" t="s">
        <v>72</v>
      </c>
      <c r="D472" s="4" t="s">
        <v>360</v>
      </c>
      <c r="E472" s="4"/>
      <c r="F472" s="5">
        <f>F473</f>
        <v>13605.79</v>
      </c>
    </row>
    <row r="473" spans="1:6" ht="51" x14ac:dyDescent="0.2">
      <c r="A473" s="24" t="s">
        <v>133</v>
      </c>
      <c r="B473" s="6" t="s">
        <v>78</v>
      </c>
      <c r="C473" s="6" t="s">
        <v>72</v>
      </c>
      <c r="D473" s="6" t="s">
        <v>360</v>
      </c>
      <c r="E473" s="6" t="s">
        <v>137</v>
      </c>
      <c r="F473" s="82">
        <v>13605.79</v>
      </c>
    </row>
    <row r="474" spans="1:6" ht="13.5" x14ac:dyDescent="0.2">
      <c r="A474" s="41" t="s">
        <v>8</v>
      </c>
      <c r="B474" s="7" t="s">
        <v>78</v>
      </c>
      <c r="C474" s="7" t="s">
        <v>72</v>
      </c>
      <c r="D474" s="7" t="s">
        <v>234</v>
      </c>
      <c r="E474" s="7"/>
      <c r="F474" s="42">
        <f>F475</f>
        <v>1082.001</v>
      </c>
    </row>
    <row r="475" spans="1:6" ht="25.5" x14ac:dyDescent="0.2">
      <c r="A475" s="23" t="s">
        <v>235</v>
      </c>
      <c r="B475" s="4" t="s">
        <v>78</v>
      </c>
      <c r="C475" s="4" t="s">
        <v>72</v>
      </c>
      <c r="D475" s="4" t="s">
        <v>236</v>
      </c>
      <c r="E475" s="4"/>
      <c r="F475" s="5">
        <f>F476</f>
        <v>1082.001</v>
      </c>
    </row>
    <row r="476" spans="1:6" ht="25.5" x14ac:dyDescent="0.2">
      <c r="A476" s="15" t="s">
        <v>237</v>
      </c>
      <c r="B476" s="4" t="s">
        <v>78</v>
      </c>
      <c r="C476" s="4" t="s">
        <v>72</v>
      </c>
      <c r="D476" s="4" t="s">
        <v>238</v>
      </c>
      <c r="E476" s="4"/>
      <c r="F476" s="5">
        <f>SUM(F477:F478)</f>
        <v>1082.001</v>
      </c>
    </row>
    <row r="477" spans="1:6" ht="25.5" x14ac:dyDescent="0.2">
      <c r="A477" s="14" t="s">
        <v>149</v>
      </c>
      <c r="B477" s="6" t="s">
        <v>78</v>
      </c>
      <c r="C477" s="6" t="s">
        <v>72</v>
      </c>
      <c r="D477" s="6" t="s">
        <v>238</v>
      </c>
      <c r="E477" s="6" t="s">
        <v>124</v>
      </c>
      <c r="F477" s="82">
        <v>953.00099999999998</v>
      </c>
    </row>
    <row r="478" spans="1:6" x14ac:dyDescent="0.2">
      <c r="A478" s="24" t="s">
        <v>144</v>
      </c>
      <c r="B478" s="6" t="s">
        <v>78</v>
      </c>
      <c r="C478" s="6" t="s">
        <v>72</v>
      </c>
      <c r="D478" s="6" t="s">
        <v>238</v>
      </c>
      <c r="E478" s="6" t="s">
        <v>145</v>
      </c>
      <c r="F478" s="82">
        <v>129</v>
      </c>
    </row>
    <row r="479" spans="1:6" ht="38.25" x14ac:dyDescent="0.2">
      <c r="A479" s="113" t="s">
        <v>446</v>
      </c>
      <c r="B479" s="87" t="s">
        <v>78</v>
      </c>
      <c r="C479" s="87" t="s">
        <v>72</v>
      </c>
      <c r="D479" s="87" t="s">
        <v>448</v>
      </c>
      <c r="E479" s="87"/>
      <c r="F479" s="103">
        <f>F480</f>
        <v>720</v>
      </c>
    </row>
    <row r="480" spans="1:6" ht="25.5" x14ac:dyDescent="0.2">
      <c r="A480" s="16" t="s">
        <v>454</v>
      </c>
      <c r="B480" s="4" t="s">
        <v>78</v>
      </c>
      <c r="C480" s="4" t="s">
        <v>72</v>
      </c>
      <c r="D480" s="4" t="s">
        <v>455</v>
      </c>
      <c r="E480" s="4"/>
      <c r="F480" s="5">
        <f>F481</f>
        <v>720</v>
      </c>
    </row>
    <row r="481" spans="1:6" ht="38.25" x14ac:dyDescent="0.2">
      <c r="A481" s="16" t="s">
        <v>447</v>
      </c>
      <c r="B481" s="4" t="s">
        <v>78</v>
      </c>
      <c r="C481" s="4" t="s">
        <v>72</v>
      </c>
      <c r="D481" s="4" t="s">
        <v>453</v>
      </c>
      <c r="E481" s="4"/>
      <c r="F481" s="5">
        <f>F482</f>
        <v>720</v>
      </c>
    </row>
    <row r="482" spans="1:6" ht="51" x14ac:dyDescent="0.2">
      <c r="A482" s="24" t="s">
        <v>133</v>
      </c>
      <c r="B482" s="86" t="s">
        <v>78</v>
      </c>
      <c r="C482" s="86" t="s">
        <v>72</v>
      </c>
      <c r="D482" s="6" t="s">
        <v>453</v>
      </c>
      <c r="E482" s="86" t="s">
        <v>137</v>
      </c>
      <c r="F482" s="19">
        <v>720</v>
      </c>
    </row>
    <row r="483" spans="1:6" x14ac:dyDescent="0.2">
      <c r="A483" s="17" t="s">
        <v>240</v>
      </c>
      <c r="B483" s="10" t="s">
        <v>78</v>
      </c>
      <c r="C483" s="10" t="s">
        <v>72</v>
      </c>
      <c r="D483" s="10" t="s">
        <v>184</v>
      </c>
      <c r="E483" s="10"/>
      <c r="F483" s="91">
        <f>F488+F484+F486</f>
        <v>7531.19</v>
      </c>
    </row>
    <row r="484" spans="1:6" ht="25.5" x14ac:dyDescent="0.2">
      <c r="A484" s="21" t="s">
        <v>228</v>
      </c>
      <c r="B484" s="4" t="s">
        <v>78</v>
      </c>
      <c r="C484" s="4" t="s">
        <v>72</v>
      </c>
      <c r="D484" s="4" t="s">
        <v>495</v>
      </c>
      <c r="E484" s="4"/>
      <c r="F484" s="92">
        <f>F485</f>
        <v>100</v>
      </c>
    </row>
    <row r="485" spans="1:6" x14ac:dyDescent="0.2">
      <c r="A485" s="24" t="s">
        <v>175</v>
      </c>
      <c r="B485" s="6" t="s">
        <v>78</v>
      </c>
      <c r="C485" s="6" t="s">
        <v>72</v>
      </c>
      <c r="D485" s="6" t="s">
        <v>495</v>
      </c>
      <c r="E485" s="6" t="s">
        <v>128</v>
      </c>
      <c r="F485" s="82">
        <v>100</v>
      </c>
    </row>
    <row r="486" spans="1:6" ht="63.75" x14ac:dyDescent="0.2">
      <c r="A486" s="29" t="s">
        <v>174</v>
      </c>
      <c r="B486" s="4" t="s">
        <v>78</v>
      </c>
      <c r="C486" s="4" t="s">
        <v>72</v>
      </c>
      <c r="D486" s="4" t="s">
        <v>593</v>
      </c>
      <c r="E486" s="4"/>
      <c r="F486" s="92">
        <f>F487</f>
        <v>94.2</v>
      </c>
    </row>
    <row r="487" spans="1:6" x14ac:dyDescent="0.2">
      <c r="A487" s="61" t="s">
        <v>134</v>
      </c>
      <c r="B487" s="6" t="s">
        <v>78</v>
      </c>
      <c r="C487" s="6" t="s">
        <v>72</v>
      </c>
      <c r="D487" s="6" t="s">
        <v>593</v>
      </c>
      <c r="E487" s="6" t="s">
        <v>135</v>
      </c>
      <c r="F487" s="82">
        <v>94.2</v>
      </c>
    </row>
    <row r="488" spans="1:6" ht="25.5" x14ac:dyDescent="0.2">
      <c r="A488" s="21" t="s">
        <v>228</v>
      </c>
      <c r="B488" s="4" t="s">
        <v>78</v>
      </c>
      <c r="C488" s="4" t="s">
        <v>72</v>
      </c>
      <c r="D488" s="4" t="s">
        <v>361</v>
      </c>
      <c r="E488" s="4"/>
      <c r="F488" s="92">
        <f>F489</f>
        <v>7336.99</v>
      </c>
    </row>
    <row r="489" spans="1:6" x14ac:dyDescent="0.2">
      <c r="A489" s="24" t="s">
        <v>175</v>
      </c>
      <c r="B489" s="6" t="s">
        <v>78</v>
      </c>
      <c r="C489" s="6" t="s">
        <v>72</v>
      </c>
      <c r="D489" s="6" t="s">
        <v>361</v>
      </c>
      <c r="E489" s="6" t="s">
        <v>128</v>
      </c>
      <c r="F489" s="82">
        <v>7336.99</v>
      </c>
    </row>
    <row r="490" spans="1:6" x14ac:dyDescent="0.2">
      <c r="A490" s="25" t="s">
        <v>161</v>
      </c>
      <c r="B490" s="8" t="s">
        <v>78</v>
      </c>
      <c r="C490" s="8" t="s">
        <v>74</v>
      </c>
      <c r="D490" s="8"/>
      <c r="E490" s="8"/>
      <c r="F490" s="50">
        <f>F491+F503</f>
        <v>8680.1999999999989</v>
      </c>
    </row>
    <row r="491" spans="1:6" ht="25.5" x14ac:dyDescent="0.2">
      <c r="A491" s="17" t="s">
        <v>376</v>
      </c>
      <c r="B491" s="10" t="s">
        <v>88</v>
      </c>
      <c r="C491" s="10" t="s">
        <v>74</v>
      </c>
      <c r="D491" s="10" t="s">
        <v>217</v>
      </c>
      <c r="E491" s="10"/>
      <c r="F491" s="51">
        <f>F492</f>
        <v>8529.1999999999989</v>
      </c>
    </row>
    <row r="492" spans="1:6" ht="13.5" x14ac:dyDescent="0.2">
      <c r="A492" s="41" t="s">
        <v>8</v>
      </c>
      <c r="B492" s="7" t="s">
        <v>78</v>
      </c>
      <c r="C492" s="7" t="s">
        <v>74</v>
      </c>
      <c r="D492" s="7" t="s">
        <v>234</v>
      </c>
      <c r="E492" s="7"/>
      <c r="F492" s="42">
        <f>F494+F497</f>
        <v>8529.1999999999989</v>
      </c>
    </row>
    <row r="493" spans="1:6" ht="25.5" x14ac:dyDescent="0.2">
      <c r="A493" s="23" t="s">
        <v>420</v>
      </c>
      <c r="B493" s="4" t="s">
        <v>78</v>
      </c>
      <c r="C493" s="4" t="s">
        <v>74</v>
      </c>
      <c r="D493" s="4" t="s">
        <v>421</v>
      </c>
      <c r="E493" s="4"/>
      <c r="F493" s="5">
        <f>F494</f>
        <v>689.8</v>
      </c>
    </row>
    <row r="494" spans="1:6" ht="25.5" x14ac:dyDescent="0.2">
      <c r="A494" s="23" t="s">
        <v>147</v>
      </c>
      <c r="B494" s="4" t="s">
        <v>78</v>
      </c>
      <c r="C494" s="4" t="s">
        <v>74</v>
      </c>
      <c r="D494" s="4" t="s">
        <v>288</v>
      </c>
      <c r="E494" s="4"/>
      <c r="F494" s="5">
        <f>SUM(F495:F496)</f>
        <v>689.8</v>
      </c>
    </row>
    <row r="495" spans="1:6" ht="25.5" x14ac:dyDescent="0.2">
      <c r="A495" s="13" t="s">
        <v>182</v>
      </c>
      <c r="B495" s="6" t="s">
        <v>78</v>
      </c>
      <c r="C495" s="6" t="s">
        <v>74</v>
      </c>
      <c r="D495" s="6" t="s">
        <v>288</v>
      </c>
      <c r="E495" s="6" t="s">
        <v>120</v>
      </c>
      <c r="F495" s="82">
        <v>529.79999999999995</v>
      </c>
    </row>
    <row r="496" spans="1:6" ht="38.25" x14ac:dyDescent="0.2">
      <c r="A496" s="13" t="s">
        <v>183</v>
      </c>
      <c r="B496" s="6" t="s">
        <v>78</v>
      </c>
      <c r="C496" s="6" t="s">
        <v>74</v>
      </c>
      <c r="D496" s="6" t="s">
        <v>288</v>
      </c>
      <c r="E496" s="6" t="s">
        <v>176</v>
      </c>
      <c r="F496" s="82">
        <v>160</v>
      </c>
    </row>
    <row r="497" spans="1:6" ht="25.5" x14ac:dyDescent="0.2">
      <c r="A497" s="15" t="s">
        <v>377</v>
      </c>
      <c r="B497" s="4" t="s">
        <v>78</v>
      </c>
      <c r="C497" s="4" t="s">
        <v>74</v>
      </c>
      <c r="D497" s="4" t="s">
        <v>239</v>
      </c>
      <c r="E497" s="4"/>
      <c r="F497" s="92">
        <f>SUM(F498:F502)</f>
        <v>7839.4</v>
      </c>
    </row>
    <row r="498" spans="1:6" x14ac:dyDescent="0.2">
      <c r="A498" s="14" t="s">
        <v>285</v>
      </c>
      <c r="B498" s="6" t="s">
        <v>78</v>
      </c>
      <c r="C498" s="6" t="s">
        <v>74</v>
      </c>
      <c r="D498" s="6" t="s">
        <v>239</v>
      </c>
      <c r="E498" s="6" t="s">
        <v>151</v>
      </c>
      <c r="F498" s="82">
        <v>5725.8</v>
      </c>
    </row>
    <row r="499" spans="1:6" ht="38.25" x14ac:dyDescent="0.2">
      <c r="A499" s="14" t="s">
        <v>284</v>
      </c>
      <c r="B499" s="6" t="s">
        <v>78</v>
      </c>
      <c r="C499" s="6" t="s">
        <v>74</v>
      </c>
      <c r="D499" s="6" t="s">
        <v>239</v>
      </c>
      <c r="E499" s="6" t="s">
        <v>203</v>
      </c>
      <c r="F499" s="82">
        <v>1608.7</v>
      </c>
    </row>
    <row r="500" spans="1:6" ht="25.5" x14ac:dyDescent="0.2">
      <c r="A500" s="14" t="s">
        <v>148</v>
      </c>
      <c r="B500" s="6" t="s">
        <v>78</v>
      </c>
      <c r="C500" s="6" t="s">
        <v>74</v>
      </c>
      <c r="D500" s="6" t="s">
        <v>239</v>
      </c>
      <c r="E500" s="6" t="s">
        <v>122</v>
      </c>
      <c r="F500" s="82">
        <v>130.69999999999999</v>
      </c>
    </row>
    <row r="501" spans="1:6" ht="25.5" x14ac:dyDescent="0.2">
      <c r="A501" s="14" t="s">
        <v>149</v>
      </c>
      <c r="B501" s="6" t="s">
        <v>78</v>
      </c>
      <c r="C501" s="6" t="s">
        <v>74</v>
      </c>
      <c r="D501" s="6" t="s">
        <v>239</v>
      </c>
      <c r="E501" s="6" t="s">
        <v>124</v>
      </c>
      <c r="F501" s="82">
        <v>369.2</v>
      </c>
    </row>
    <row r="502" spans="1:6" x14ac:dyDescent="0.2">
      <c r="A502" s="14" t="s">
        <v>510</v>
      </c>
      <c r="B502" s="6" t="s">
        <v>78</v>
      </c>
      <c r="C502" s="6" t="s">
        <v>74</v>
      </c>
      <c r="D502" s="6" t="s">
        <v>239</v>
      </c>
      <c r="E502" s="6" t="s">
        <v>508</v>
      </c>
      <c r="F502" s="82">
        <v>5</v>
      </c>
    </row>
    <row r="503" spans="1:6" ht="25.5" x14ac:dyDescent="0.2">
      <c r="A503" s="17" t="s">
        <v>378</v>
      </c>
      <c r="B503" s="10" t="s">
        <v>78</v>
      </c>
      <c r="C503" s="10" t="s">
        <v>74</v>
      </c>
      <c r="D503" s="10" t="s">
        <v>310</v>
      </c>
      <c r="E503" s="10"/>
      <c r="F503" s="51">
        <f>F504</f>
        <v>151</v>
      </c>
    </row>
    <row r="504" spans="1:6" s="39" customFormat="1" ht="25.5" x14ac:dyDescent="0.2">
      <c r="A504" s="23" t="s">
        <v>323</v>
      </c>
      <c r="B504" s="4" t="s">
        <v>78</v>
      </c>
      <c r="C504" s="4" t="s">
        <v>74</v>
      </c>
      <c r="D504" s="4" t="s">
        <v>39</v>
      </c>
      <c r="E504" s="4"/>
      <c r="F504" s="54">
        <f>F505</f>
        <v>151</v>
      </c>
    </row>
    <row r="505" spans="1:6" s="39" customFormat="1" ht="25.5" x14ac:dyDescent="0.2">
      <c r="A505" s="21" t="s">
        <v>311</v>
      </c>
      <c r="B505" s="4" t="s">
        <v>78</v>
      </c>
      <c r="C505" s="4" t="s">
        <v>74</v>
      </c>
      <c r="D505" s="4" t="s">
        <v>40</v>
      </c>
      <c r="E505" s="4"/>
      <c r="F505" s="5">
        <f>F506</f>
        <v>151</v>
      </c>
    </row>
    <row r="506" spans="1:6" x14ac:dyDescent="0.2">
      <c r="A506" s="14" t="s">
        <v>441</v>
      </c>
      <c r="B506" s="6" t="s">
        <v>78</v>
      </c>
      <c r="C506" s="6" t="s">
        <v>74</v>
      </c>
      <c r="D506" s="6" t="s">
        <v>40</v>
      </c>
      <c r="E506" s="6" t="s">
        <v>442</v>
      </c>
      <c r="F506" s="82">
        <v>151</v>
      </c>
    </row>
    <row r="507" spans="1:6" x14ac:dyDescent="0.2">
      <c r="A507" s="20" t="s">
        <v>131</v>
      </c>
      <c r="B507" s="9" t="s">
        <v>80</v>
      </c>
      <c r="C507" s="9"/>
      <c r="D507" s="9"/>
      <c r="E507" s="9"/>
      <c r="F507" s="49">
        <f>F508+F530+F513+F524</f>
        <v>27751.99207</v>
      </c>
    </row>
    <row r="508" spans="1:6" x14ac:dyDescent="0.2">
      <c r="A508" s="26" t="s">
        <v>70</v>
      </c>
      <c r="B508" s="8" t="s">
        <v>80</v>
      </c>
      <c r="C508" s="8" t="s">
        <v>72</v>
      </c>
      <c r="D508" s="8"/>
      <c r="E508" s="8"/>
      <c r="F508" s="50">
        <f>F509</f>
        <v>5249.2</v>
      </c>
    </row>
    <row r="509" spans="1:6" x14ac:dyDescent="0.2">
      <c r="A509" s="33" t="s">
        <v>163</v>
      </c>
      <c r="B509" s="10" t="s">
        <v>80</v>
      </c>
      <c r="C509" s="10" t="s">
        <v>72</v>
      </c>
      <c r="D509" s="10" t="s">
        <v>184</v>
      </c>
      <c r="E509" s="10"/>
      <c r="F509" s="51">
        <f>F510</f>
        <v>5249.2</v>
      </c>
    </row>
    <row r="510" spans="1:6" ht="25.5" x14ac:dyDescent="0.2">
      <c r="A510" s="23" t="s">
        <v>95</v>
      </c>
      <c r="B510" s="4" t="s">
        <v>80</v>
      </c>
      <c r="C510" s="4" t="s">
        <v>72</v>
      </c>
      <c r="D510" s="4" t="s">
        <v>212</v>
      </c>
      <c r="E510" s="4"/>
      <c r="F510" s="5">
        <f>F511</f>
        <v>5249.2</v>
      </c>
    </row>
    <row r="511" spans="1:6" x14ac:dyDescent="0.2">
      <c r="A511" s="72" t="s">
        <v>152</v>
      </c>
      <c r="B511" s="4" t="s">
        <v>80</v>
      </c>
      <c r="C511" s="4" t="s">
        <v>72</v>
      </c>
      <c r="D511" s="4" t="s">
        <v>213</v>
      </c>
      <c r="E511" s="4"/>
      <c r="F511" s="5">
        <f>F512</f>
        <v>5249.2</v>
      </c>
    </row>
    <row r="512" spans="1:6" x14ac:dyDescent="0.2">
      <c r="A512" s="18" t="s">
        <v>344</v>
      </c>
      <c r="B512" s="6" t="s">
        <v>80</v>
      </c>
      <c r="C512" s="6" t="s">
        <v>72</v>
      </c>
      <c r="D512" s="6" t="s">
        <v>213</v>
      </c>
      <c r="E512" s="6" t="s">
        <v>337</v>
      </c>
      <c r="F512" s="19">
        <v>5249.2</v>
      </c>
    </row>
    <row r="513" spans="1:7" x14ac:dyDescent="0.2">
      <c r="A513" s="26" t="s">
        <v>165</v>
      </c>
      <c r="B513" s="8" t="s">
        <v>80</v>
      </c>
      <c r="C513" s="8" t="s">
        <v>86</v>
      </c>
      <c r="D513" s="8"/>
      <c r="E513" s="8"/>
      <c r="F513" s="50">
        <f>F518+F514</f>
        <v>15445.298199999999</v>
      </c>
    </row>
    <row r="514" spans="1:7" ht="38.25" x14ac:dyDescent="0.2">
      <c r="A514" s="62" t="s">
        <v>343</v>
      </c>
      <c r="B514" s="10" t="s">
        <v>80</v>
      </c>
      <c r="C514" s="10" t="s">
        <v>86</v>
      </c>
      <c r="D514" s="10" t="s">
        <v>44</v>
      </c>
      <c r="E514" s="10"/>
      <c r="F514" s="100">
        <f>F515</f>
        <v>8630.0681999999997</v>
      </c>
      <c r="G514" s="12"/>
    </row>
    <row r="515" spans="1:7" ht="38.25" x14ac:dyDescent="0.2">
      <c r="A515" s="15" t="s">
        <v>554</v>
      </c>
      <c r="B515" s="4" t="s">
        <v>80</v>
      </c>
      <c r="C515" s="4" t="s">
        <v>86</v>
      </c>
      <c r="D515" s="4" t="s">
        <v>553</v>
      </c>
      <c r="E515" s="4"/>
      <c r="F515" s="54">
        <f>F516</f>
        <v>8630.0681999999997</v>
      </c>
    </row>
    <row r="516" spans="1:7" x14ac:dyDescent="0.2">
      <c r="A516" s="101" t="s">
        <v>484</v>
      </c>
      <c r="B516" s="4" t="s">
        <v>80</v>
      </c>
      <c r="C516" s="4" t="s">
        <v>86</v>
      </c>
      <c r="D516" s="4" t="s">
        <v>552</v>
      </c>
      <c r="E516" s="4"/>
      <c r="F516" s="54">
        <f>F517</f>
        <v>8630.0681999999997</v>
      </c>
    </row>
    <row r="517" spans="1:7" ht="25.5" x14ac:dyDescent="0.2">
      <c r="A517" s="34" t="s">
        <v>123</v>
      </c>
      <c r="B517" s="86" t="s">
        <v>80</v>
      </c>
      <c r="C517" s="86" t="s">
        <v>86</v>
      </c>
      <c r="D517" s="86" t="s">
        <v>552</v>
      </c>
      <c r="E517" s="86" t="s">
        <v>124</v>
      </c>
      <c r="F517" s="82">
        <v>8630.0681999999997</v>
      </c>
    </row>
    <row r="518" spans="1:7" x14ac:dyDescent="0.2">
      <c r="A518" s="33" t="s">
        <v>163</v>
      </c>
      <c r="B518" s="10" t="s">
        <v>80</v>
      </c>
      <c r="C518" s="10" t="s">
        <v>86</v>
      </c>
      <c r="D518" s="10" t="s">
        <v>184</v>
      </c>
      <c r="E518" s="10"/>
      <c r="F518" s="51">
        <f>F519+F521</f>
        <v>6815.23</v>
      </c>
    </row>
    <row r="519" spans="1:7" ht="38.25" x14ac:dyDescent="0.2">
      <c r="A519" s="29" t="s">
        <v>397</v>
      </c>
      <c r="B519" s="4" t="s">
        <v>80</v>
      </c>
      <c r="C519" s="4" t="s">
        <v>86</v>
      </c>
      <c r="D519" s="4" t="s">
        <v>398</v>
      </c>
      <c r="E519" s="4"/>
      <c r="F519" s="92">
        <f>F520</f>
        <v>4213</v>
      </c>
    </row>
    <row r="520" spans="1:7" x14ac:dyDescent="0.2">
      <c r="A520" s="56" t="s">
        <v>56</v>
      </c>
      <c r="B520" s="6" t="s">
        <v>80</v>
      </c>
      <c r="C520" s="6" t="s">
        <v>86</v>
      </c>
      <c r="D520" s="6" t="s">
        <v>398</v>
      </c>
      <c r="E520" s="6" t="s">
        <v>57</v>
      </c>
      <c r="F520" s="82">
        <v>4213</v>
      </c>
    </row>
    <row r="521" spans="1:7" s="39" customFormat="1" ht="204" x14ac:dyDescent="0.2">
      <c r="A521" s="21" t="s">
        <v>465</v>
      </c>
      <c r="B521" s="4" t="s">
        <v>80</v>
      </c>
      <c r="C521" s="4" t="s">
        <v>86</v>
      </c>
      <c r="D521" s="4" t="s">
        <v>241</v>
      </c>
      <c r="E521" s="4"/>
      <c r="F521" s="54">
        <f>F522+F523</f>
        <v>2602.23</v>
      </c>
    </row>
    <row r="522" spans="1:7" s="40" customFormat="1" x14ac:dyDescent="0.2">
      <c r="A522" s="13" t="s">
        <v>134</v>
      </c>
      <c r="B522" s="6" t="s">
        <v>80</v>
      </c>
      <c r="C522" s="6" t="s">
        <v>86</v>
      </c>
      <c r="D522" s="6" t="s">
        <v>241</v>
      </c>
      <c r="E522" s="6" t="s">
        <v>135</v>
      </c>
      <c r="F522" s="94">
        <f>2000+60+233.13</f>
        <v>2293.13</v>
      </c>
    </row>
    <row r="523" spans="1:7" x14ac:dyDescent="0.2">
      <c r="A523" s="24" t="s">
        <v>144</v>
      </c>
      <c r="B523" s="6" t="s">
        <v>80</v>
      </c>
      <c r="C523" s="6" t="s">
        <v>86</v>
      </c>
      <c r="D523" s="6" t="s">
        <v>241</v>
      </c>
      <c r="E523" s="6" t="s">
        <v>145</v>
      </c>
      <c r="F523" s="82">
        <v>309.10000000000002</v>
      </c>
    </row>
    <row r="524" spans="1:7" x14ac:dyDescent="0.2">
      <c r="A524" s="26" t="s">
        <v>433</v>
      </c>
      <c r="B524" s="8" t="s">
        <v>80</v>
      </c>
      <c r="C524" s="8" t="s">
        <v>74</v>
      </c>
      <c r="D524" s="8"/>
      <c r="E524" s="8"/>
      <c r="F524" s="50">
        <f>F525</f>
        <v>2418.8938699999999</v>
      </c>
    </row>
    <row r="525" spans="1:7" ht="38.25" x14ac:dyDescent="0.2">
      <c r="A525" s="17" t="s">
        <v>379</v>
      </c>
      <c r="B525" s="10" t="s">
        <v>80</v>
      </c>
      <c r="C525" s="10" t="s">
        <v>74</v>
      </c>
      <c r="D525" s="10" t="s">
        <v>242</v>
      </c>
      <c r="E525" s="10"/>
      <c r="F525" s="91">
        <f>F526</f>
        <v>2418.8938699999999</v>
      </c>
    </row>
    <row r="526" spans="1:7" ht="13.5" x14ac:dyDescent="0.2">
      <c r="A526" s="41" t="s">
        <v>10</v>
      </c>
      <c r="B526" s="7" t="s">
        <v>80</v>
      </c>
      <c r="C526" s="7" t="s">
        <v>74</v>
      </c>
      <c r="D526" s="7" t="s">
        <v>363</v>
      </c>
      <c r="E526" s="7"/>
      <c r="F526" s="58">
        <f>F527</f>
        <v>2418.8938699999999</v>
      </c>
    </row>
    <row r="527" spans="1:7" ht="25.5" x14ac:dyDescent="0.2">
      <c r="A527" s="23" t="s">
        <v>55</v>
      </c>
      <c r="B527" s="4" t="s">
        <v>80</v>
      </c>
      <c r="C527" s="4" t="s">
        <v>74</v>
      </c>
      <c r="D527" s="4" t="s">
        <v>364</v>
      </c>
      <c r="E527" s="4"/>
      <c r="F527" s="54">
        <f>F528</f>
        <v>2418.8938699999999</v>
      </c>
    </row>
    <row r="528" spans="1:7" ht="25.5" x14ac:dyDescent="0.2">
      <c r="A528" s="23" t="s">
        <v>466</v>
      </c>
      <c r="B528" s="4" t="s">
        <v>80</v>
      </c>
      <c r="C528" s="4" t="s">
        <v>74</v>
      </c>
      <c r="D528" s="4" t="s">
        <v>365</v>
      </c>
      <c r="E528" s="4"/>
      <c r="F528" s="54">
        <f>F529</f>
        <v>2418.8938699999999</v>
      </c>
    </row>
    <row r="529" spans="1:6" x14ac:dyDescent="0.2">
      <c r="A529" s="24" t="s">
        <v>56</v>
      </c>
      <c r="B529" s="6" t="s">
        <v>80</v>
      </c>
      <c r="C529" s="6" t="s">
        <v>74</v>
      </c>
      <c r="D529" s="6" t="s">
        <v>365</v>
      </c>
      <c r="E529" s="6" t="s">
        <v>57</v>
      </c>
      <c r="F529" s="94">
        <f>1441.29387+511+466.6</f>
        <v>2418.8938699999999</v>
      </c>
    </row>
    <row r="530" spans="1:6" x14ac:dyDescent="0.2">
      <c r="A530" s="26" t="s">
        <v>99</v>
      </c>
      <c r="B530" s="8" t="s">
        <v>80</v>
      </c>
      <c r="C530" s="8" t="s">
        <v>79</v>
      </c>
      <c r="D530" s="8"/>
      <c r="E530" s="8"/>
      <c r="F530" s="50">
        <f>F531</f>
        <v>4638.5999999999995</v>
      </c>
    </row>
    <row r="531" spans="1:6" x14ac:dyDescent="0.2">
      <c r="A531" s="33" t="s">
        <v>163</v>
      </c>
      <c r="B531" s="10" t="s">
        <v>80</v>
      </c>
      <c r="C531" s="10" t="s">
        <v>79</v>
      </c>
      <c r="D531" s="10" t="s">
        <v>184</v>
      </c>
      <c r="E531" s="10"/>
      <c r="F531" s="51">
        <f>F532+F537+F542</f>
        <v>4638.5999999999995</v>
      </c>
    </row>
    <row r="532" spans="1:6" ht="51" x14ac:dyDescent="0.2">
      <c r="A532" s="23" t="s">
        <v>116</v>
      </c>
      <c r="B532" s="4" t="s">
        <v>80</v>
      </c>
      <c r="C532" s="4" t="s">
        <v>79</v>
      </c>
      <c r="D532" s="4" t="s">
        <v>214</v>
      </c>
      <c r="E532" s="4"/>
      <c r="F532" s="92">
        <f>SUM(F533:F536)</f>
        <v>1617.9999999999998</v>
      </c>
    </row>
    <row r="533" spans="1:6" ht="25.5" x14ac:dyDescent="0.2">
      <c r="A533" s="34" t="s">
        <v>182</v>
      </c>
      <c r="B533" s="6" t="s">
        <v>80</v>
      </c>
      <c r="C533" s="6" t="s">
        <v>79</v>
      </c>
      <c r="D533" s="6" t="s">
        <v>214</v>
      </c>
      <c r="E533" s="6" t="s">
        <v>120</v>
      </c>
      <c r="F533" s="82">
        <v>1174.8699999999999</v>
      </c>
    </row>
    <row r="534" spans="1:6" ht="38.25" x14ac:dyDescent="0.2">
      <c r="A534" s="34" t="s">
        <v>183</v>
      </c>
      <c r="B534" s="6" t="s">
        <v>80</v>
      </c>
      <c r="C534" s="6" t="s">
        <v>79</v>
      </c>
      <c r="D534" s="6" t="s">
        <v>214</v>
      </c>
      <c r="E534" s="6" t="s">
        <v>176</v>
      </c>
      <c r="F534" s="82">
        <v>374.31</v>
      </c>
    </row>
    <row r="535" spans="1:6" ht="25.5" x14ac:dyDescent="0.2">
      <c r="A535" s="34" t="s">
        <v>121</v>
      </c>
      <c r="B535" s="6" t="s">
        <v>80</v>
      </c>
      <c r="C535" s="6" t="s">
        <v>79</v>
      </c>
      <c r="D535" s="6" t="s">
        <v>214</v>
      </c>
      <c r="E535" s="6" t="s">
        <v>122</v>
      </c>
      <c r="F535" s="82">
        <v>35.82</v>
      </c>
    </row>
    <row r="536" spans="1:6" ht="25.5" x14ac:dyDescent="0.2">
      <c r="A536" s="34" t="s">
        <v>123</v>
      </c>
      <c r="B536" s="6" t="s">
        <v>80</v>
      </c>
      <c r="C536" s="6" t="s">
        <v>79</v>
      </c>
      <c r="D536" s="6" t="s">
        <v>214</v>
      </c>
      <c r="E536" s="6" t="s">
        <v>124</v>
      </c>
      <c r="F536" s="82">
        <v>33</v>
      </c>
    </row>
    <row r="537" spans="1:6" ht="38.25" x14ac:dyDescent="0.2">
      <c r="A537" s="23" t="s">
        <v>115</v>
      </c>
      <c r="B537" s="4" t="s">
        <v>80</v>
      </c>
      <c r="C537" s="4" t="s">
        <v>79</v>
      </c>
      <c r="D537" s="4" t="s">
        <v>216</v>
      </c>
      <c r="E537" s="4"/>
      <c r="F537" s="92">
        <f>SUM(F538:F541)</f>
        <v>2696.7</v>
      </c>
    </row>
    <row r="538" spans="1:6" ht="25.5" x14ac:dyDescent="0.2">
      <c r="A538" s="34" t="s">
        <v>182</v>
      </c>
      <c r="B538" s="6" t="s">
        <v>80</v>
      </c>
      <c r="C538" s="6" t="s">
        <v>79</v>
      </c>
      <c r="D538" s="6" t="s">
        <v>216</v>
      </c>
      <c r="E538" s="6" t="s">
        <v>120</v>
      </c>
      <c r="F538" s="82">
        <v>1778.74</v>
      </c>
    </row>
    <row r="539" spans="1:6" s="39" customFormat="1" ht="38.25" x14ac:dyDescent="0.2">
      <c r="A539" s="34" t="s">
        <v>183</v>
      </c>
      <c r="B539" s="6" t="s">
        <v>80</v>
      </c>
      <c r="C539" s="6" t="s">
        <v>79</v>
      </c>
      <c r="D539" s="6" t="s">
        <v>216</v>
      </c>
      <c r="E539" s="6" t="s">
        <v>176</v>
      </c>
      <c r="F539" s="82">
        <v>536.79999999999995</v>
      </c>
    </row>
    <row r="540" spans="1:6" ht="25.5" x14ac:dyDescent="0.2">
      <c r="A540" s="34" t="s">
        <v>121</v>
      </c>
      <c r="B540" s="6" t="s">
        <v>80</v>
      </c>
      <c r="C540" s="6" t="s">
        <v>79</v>
      </c>
      <c r="D540" s="6" t="s">
        <v>216</v>
      </c>
      <c r="E540" s="6" t="s">
        <v>122</v>
      </c>
      <c r="F540" s="82">
        <v>86</v>
      </c>
    </row>
    <row r="541" spans="1:6" ht="25.5" x14ac:dyDescent="0.2">
      <c r="A541" s="34" t="s">
        <v>123</v>
      </c>
      <c r="B541" s="6" t="s">
        <v>80</v>
      </c>
      <c r="C541" s="6" t="s">
        <v>79</v>
      </c>
      <c r="D541" s="6" t="s">
        <v>216</v>
      </c>
      <c r="E541" s="6" t="s">
        <v>124</v>
      </c>
      <c r="F541" s="82">
        <v>295.16000000000003</v>
      </c>
    </row>
    <row r="542" spans="1:6" ht="51" x14ac:dyDescent="0.2">
      <c r="A542" s="84" t="s">
        <v>427</v>
      </c>
      <c r="B542" s="85" t="s">
        <v>80</v>
      </c>
      <c r="C542" s="85" t="s">
        <v>79</v>
      </c>
      <c r="D542" s="85" t="s">
        <v>428</v>
      </c>
      <c r="E542" s="85"/>
      <c r="F542" s="92">
        <f>SUM(F543:F546)</f>
        <v>323.90000000000003</v>
      </c>
    </row>
    <row r="543" spans="1:6" ht="25.5" x14ac:dyDescent="0.2">
      <c r="A543" s="34" t="s">
        <v>182</v>
      </c>
      <c r="B543" s="6" t="s">
        <v>80</v>
      </c>
      <c r="C543" s="6" t="s">
        <v>79</v>
      </c>
      <c r="D543" s="6" t="s">
        <v>428</v>
      </c>
      <c r="E543" s="6" t="s">
        <v>120</v>
      </c>
      <c r="F543" s="82">
        <v>136.80000000000001</v>
      </c>
    </row>
    <row r="544" spans="1:6" ht="38.25" x14ac:dyDescent="0.2">
      <c r="A544" s="34" t="s">
        <v>183</v>
      </c>
      <c r="B544" s="6" t="s">
        <v>80</v>
      </c>
      <c r="C544" s="6" t="s">
        <v>79</v>
      </c>
      <c r="D544" s="6" t="s">
        <v>428</v>
      </c>
      <c r="E544" s="6" t="s">
        <v>176</v>
      </c>
      <c r="F544" s="82">
        <v>41.3</v>
      </c>
    </row>
    <row r="545" spans="1:6" ht="25.5" x14ac:dyDescent="0.2">
      <c r="A545" s="34" t="s">
        <v>123</v>
      </c>
      <c r="B545" s="6" t="s">
        <v>80</v>
      </c>
      <c r="C545" s="6" t="s">
        <v>79</v>
      </c>
      <c r="D545" s="6" t="s">
        <v>428</v>
      </c>
      <c r="E545" s="6" t="s">
        <v>124</v>
      </c>
      <c r="F545" s="82">
        <v>97.2</v>
      </c>
    </row>
    <row r="546" spans="1:6" x14ac:dyDescent="0.2">
      <c r="A546" s="13" t="s">
        <v>435</v>
      </c>
      <c r="B546" s="6" t="s">
        <v>80</v>
      </c>
      <c r="C546" s="6" t="s">
        <v>79</v>
      </c>
      <c r="D546" s="6" t="s">
        <v>428</v>
      </c>
      <c r="E546" s="6" t="s">
        <v>124</v>
      </c>
      <c r="F546" s="82">
        <v>48.6</v>
      </c>
    </row>
    <row r="547" spans="1:6" x14ac:dyDescent="0.2">
      <c r="A547" s="32" t="s">
        <v>139</v>
      </c>
      <c r="B547" s="9" t="s">
        <v>91</v>
      </c>
      <c r="C547" s="9"/>
      <c r="D547" s="9"/>
      <c r="E547" s="9"/>
      <c r="F547" s="49">
        <f>F548+F571+F584</f>
        <v>159218.69444999998</v>
      </c>
    </row>
    <row r="548" spans="1:6" x14ac:dyDescent="0.2">
      <c r="A548" s="26" t="s">
        <v>113</v>
      </c>
      <c r="B548" s="8" t="s">
        <v>91</v>
      </c>
      <c r="C548" s="8" t="s">
        <v>73</v>
      </c>
      <c r="D548" s="8"/>
      <c r="E548" s="8"/>
      <c r="F548" s="50">
        <f>F554+F549+F566</f>
        <v>116245.83526999998</v>
      </c>
    </row>
    <row r="549" spans="1:6" s="39" customFormat="1" ht="38.25" x14ac:dyDescent="0.2">
      <c r="A549" s="38" t="s">
        <v>343</v>
      </c>
      <c r="B549" s="10" t="s">
        <v>91</v>
      </c>
      <c r="C549" s="10" t="s">
        <v>73</v>
      </c>
      <c r="D549" s="10" t="s">
        <v>44</v>
      </c>
      <c r="E549" s="10"/>
      <c r="F549" s="51">
        <f>F550</f>
        <v>111383.15</v>
      </c>
    </row>
    <row r="550" spans="1:6" s="39" customFormat="1" ht="51" x14ac:dyDescent="0.2">
      <c r="A550" s="15" t="s">
        <v>535</v>
      </c>
      <c r="B550" s="4" t="s">
        <v>91</v>
      </c>
      <c r="C550" s="4" t="s">
        <v>73</v>
      </c>
      <c r="D550" s="4" t="s">
        <v>530</v>
      </c>
      <c r="E550" s="4"/>
      <c r="F550" s="5">
        <f>F551</f>
        <v>111383.15</v>
      </c>
    </row>
    <row r="551" spans="1:6" s="39" customFormat="1" ht="38.25" x14ac:dyDescent="0.2">
      <c r="A551" s="15" t="s">
        <v>557</v>
      </c>
      <c r="B551" s="4" t="s">
        <v>91</v>
      </c>
      <c r="C551" s="4" t="s">
        <v>73</v>
      </c>
      <c r="D551" s="4" t="s">
        <v>556</v>
      </c>
      <c r="E551" s="4"/>
      <c r="F551" s="5">
        <f>F552</f>
        <v>111383.15</v>
      </c>
    </row>
    <row r="552" spans="1:6" s="39" customFormat="1" x14ac:dyDescent="0.2">
      <c r="A552" s="15" t="s">
        <v>484</v>
      </c>
      <c r="B552" s="4" t="s">
        <v>91</v>
      </c>
      <c r="C552" s="4" t="s">
        <v>73</v>
      </c>
      <c r="D552" s="4" t="s">
        <v>555</v>
      </c>
      <c r="E552" s="4"/>
      <c r="F552" s="5">
        <f>SUM(F553:F553)</f>
        <v>111383.15</v>
      </c>
    </row>
    <row r="553" spans="1:6" s="39" customFormat="1" ht="38.25" x14ac:dyDescent="0.2">
      <c r="A553" s="110" t="s">
        <v>504</v>
      </c>
      <c r="B553" s="6" t="s">
        <v>91</v>
      </c>
      <c r="C553" s="6" t="s">
        <v>73</v>
      </c>
      <c r="D553" s="6" t="s">
        <v>555</v>
      </c>
      <c r="E553" s="6" t="s">
        <v>505</v>
      </c>
      <c r="F553" s="19">
        <v>111383.15</v>
      </c>
    </row>
    <row r="554" spans="1:6" ht="38.25" x14ac:dyDescent="0.2">
      <c r="A554" s="17" t="s">
        <v>379</v>
      </c>
      <c r="B554" s="10" t="s">
        <v>91</v>
      </c>
      <c r="C554" s="10" t="s">
        <v>73</v>
      </c>
      <c r="D554" s="10" t="s">
        <v>242</v>
      </c>
      <c r="E554" s="10"/>
      <c r="F554" s="51">
        <f>F555+F561</f>
        <v>4721.8999999999996</v>
      </c>
    </row>
    <row r="555" spans="1:6" ht="27" x14ac:dyDescent="0.2">
      <c r="A555" s="41" t="s">
        <v>11</v>
      </c>
      <c r="B555" s="7" t="s">
        <v>91</v>
      </c>
      <c r="C555" s="7" t="s">
        <v>73</v>
      </c>
      <c r="D555" s="74" t="s">
        <v>366</v>
      </c>
      <c r="E555" s="7"/>
      <c r="F555" s="42">
        <f>F556</f>
        <v>1250</v>
      </c>
    </row>
    <row r="556" spans="1:6" ht="25.5" x14ac:dyDescent="0.2">
      <c r="A556" s="23" t="s">
        <v>422</v>
      </c>
      <c r="B556" s="4" t="s">
        <v>91</v>
      </c>
      <c r="C556" s="4" t="s">
        <v>73</v>
      </c>
      <c r="D556" s="69" t="s">
        <v>367</v>
      </c>
      <c r="E556" s="7"/>
      <c r="F556" s="5">
        <f>F557</f>
        <v>1250</v>
      </c>
    </row>
    <row r="557" spans="1:6" ht="25.5" x14ac:dyDescent="0.2">
      <c r="A557" s="23" t="s">
        <v>173</v>
      </c>
      <c r="B557" s="4" t="s">
        <v>91</v>
      </c>
      <c r="C557" s="4" t="s">
        <v>73</v>
      </c>
      <c r="D557" s="69" t="s">
        <v>367</v>
      </c>
      <c r="E557" s="4"/>
      <c r="F557" s="5">
        <f>SUM(F558:F560)</f>
        <v>1250</v>
      </c>
    </row>
    <row r="558" spans="1:6" ht="25.5" x14ac:dyDescent="0.2">
      <c r="A558" s="13" t="s">
        <v>283</v>
      </c>
      <c r="B558" s="6" t="s">
        <v>91</v>
      </c>
      <c r="C558" s="6" t="s">
        <v>73</v>
      </c>
      <c r="D558" s="70" t="s">
        <v>367</v>
      </c>
      <c r="E558" s="6" t="s">
        <v>494</v>
      </c>
      <c r="F558" s="82">
        <v>10</v>
      </c>
    </row>
    <row r="559" spans="1:6" ht="25.5" x14ac:dyDescent="0.2">
      <c r="A559" s="14" t="s">
        <v>149</v>
      </c>
      <c r="B559" s="6" t="s">
        <v>91</v>
      </c>
      <c r="C559" s="6" t="s">
        <v>73</v>
      </c>
      <c r="D559" s="70" t="s">
        <v>367</v>
      </c>
      <c r="E559" s="6" t="s">
        <v>124</v>
      </c>
      <c r="F559" s="82">
        <v>1094.5</v>
      </c>
    </row>
    <row r="560" spans="1:6" x14ac:dyDescent="0.2">
      <c r="A560" s="14" t="s">
        <v>602</v>
      </c>
      <c r="B560" s="6" t="s">
        <v>91</v>
      </c>
      <c r="C560" s="6" t="s">
        <v>73</v>
      </c>
      <c r="D560" s="70" t="s">
        <v>367</v>
      </c>
      <c r="E560" s="6" t="s">
        <v>601</v>
      </c>
      <c r="F560" s="82">
        <v>145.5</v>
      </c>
    </row>
    <row r="561" spans="1:6" ht="27" x14ac:dyDescent="0.2">
      <c r="A561" s="41" t="s">
        <v>14</v>
      </c>
      <c r="B561" s="7" t="s">
        <v>91</v>
      </c>
      <c r="C561" s="7" t="s">
        <v>73</v>
      </c>
      <c r="D561" s="74" t="s">
        <v>506</v>
      </c>
      <c r="E561" s="7"/>
      <c r="F561" s="93">
        <f>F562</f>
        <v>3471.8999999999996</v>
      </c>
    </row>
    <row r="562" spans="1:6" ht="25.5" x14ac:dyDescent="0.2">
      <c r="A562" s="96" t="s">
        <v>511</v>
      </c>
      <c r="B562" s="4" t="s">
        <v>91</v>
      </c>
      <c r="C562" s="4" t="s">
        <v>73</v>
      </c>
      <c r="D562" s="69" t="s">
        <v>368</v>
      </c>
      <c r="E562" s="4"/>
      <c r="F562" s="92">
        <f>F563</f>
        <v>3471.8999999999996</v>
      </c>
    </row>
    <row r="563" spans="1:6" ht="25.5" x14ac:dyDescent="0.2">
      <c r="A563" s="15" t="s">
        <v>467</v>
      </c>
      <c r="B563" s="4" t="s">
        <v>91</v>
      </c>
      <c r="C563" s="4" t="s">
        <v>73</v>
      </c>
      <c r="D563" s="69" t="s">
        <v>369</v>
      </c>
      <c r="E563" s="4"/>
      <c r="F563" s="92">
        <f>F564+F565</f>
        <v>3471.8999999999996</v>
      </c>
    </row>
    <row r="564" spans="1:6" x14ac:dyDescent="0.2">
      <c r="A564" s="14" t="s">
        <v>286</v>
      </c>
      <c r="B564" s="6" t="s">
        <v>91</v>
      </c>
      <c r="C564" s="6" t="s">
        <v>73</v>
      </c>
      <c r="D564" s="70" t="s">
        <v>369</v>
      </c>
      <c r="E564" s="86" t="s">
        <v>151</v>
      </c>
      <c r="F564" s="82">
        <v>2666.6</v>
      </c>
    </row>
    <row r="565" spans="1:6" ht="38.25" x14ac:dyDescent="0.2">
      <c r="A565" s="14" t="s">
        <v>287</v>
      </c>
      <c r="B565" s="6" t="s">
        <v>91</v>
      </c>
      <c r="C565" s="6" t="s">
        <v>73</v>
      </c>
      <c r="D565" s="70" t="s">
        <v>369</v>
      </c>
      <c r="E565" s="86" t="s">
        <v>203</v>
      </c>
      <c r="F565" s="82">
        <v>805.3</v>
      </c>
    </row>
    <row r="566" spans="1:6" s="40" customFormat="1" x14ac:dyDescent="0.2">
      <c r="A566" s="114" t="s">
        <v>163</v>
      </c>
      <c r="B566" s="10" t="s">
        <v>91</v>
      </c>
      <c r="C566" s="10" t="s">
        <v>73</v>
      </c>
      <c r="D566" s="115" t="s">
        <v>184</v>
      </c>
      <c r="E566" s="87"/>
      <c r="F566" s="103">
        <f>F567+F569</f>
        <v>140.78527</v>
      </c>
    </row>
    <row r="567" spans="1:6" s="39" customFormat="1" x14ac:dyDescent="0.2">
      <c r="A567" s="21" t="s">
        <v>97</v>
      </c>
      <c r="B567" s="4" t="s">
        <v>91</v>
      </c>
      <c r="C567" s="4" t="s">
        <v>73</v>
      </c>
      <c r="D567" s="69" t="s">
        <v>196</v>
      </c>
      <c r="E567" s="88"/>
      <c r="F567" s="92">
        <f>F568</f>
        <v>10</v>
      </c>
    </row>
    <row r="568" spans="1:6" ht="38.25" x14ac:dyDescent="0.2">
      <c r="A568" s="14" t="s">
        <v>566</v>
      </c>
      <c r="B568" s="6" t="s">
        <v>91</v>
      </c>
      <c r="C568" s="6" t="s">
        <v>73</v>
      </c>
      <c r="D568" s="70" t="s">
        <v>196</v>
      </c>
      <c r="E568" s="86" t="s">
        <v>567</v>
      </c>
      <c r="F568" s="82">
        <v>10</v>
      </c>
    </row>
    <row r="569" spans="1:6" s="39" customFormat="1" ht="63.75" x14ac:dyDescent="0.2">
      <c r="A569" s="29" t="s">
        <v>174</v>
      </c>
      <c r="B569" s="4" t="s">
        <v>91</v>
      </c>
      <c r="C569" s="4" t="s">
        <v>73</v>
      </c>
      <c r="D569" s="69" t="s">
        <v>593</v>
      </c>
      <c r="E569" s="88"/>
      <c r="F569" s="92">
        <f>F570</f>
        <v>130.78527</v>
      </c>
    </row>
    <row r="570" spans="1:6" ht="38.25" x14ac:dyDescent="0.2">
      <c r="A570" s="110" t="s">
        <v>504</v>
      </c>
      <c r="B570" s="6" t="s">
        <v>91</v>
      </c>
      <c r="C570" s="6" t="s">
        <v>73</v>
      </c>
      <c r="D570" s="70" t="s">
        <v>593</v>
      </c>
      <c r="E570" s="86" t="s">
        <v>505</v>
      </c>
      <c r="F570" s="82">
        <v>130.78527</v>
      </c>
    </row>
    <row r="571" spans="1:6" x14ac:dyDescent="0.2">
      <c r="A571" s="22" t="s">
        <v>60</v>
      </c>
      <c r="B571" s="8" t="s">
        <v>91</v>
      </c>
      <c r="C571" s="8" t="s">
        <v>86</v>
      </c>
      <c r="D571" s="8"/>
      <c r="E571" s="8"/>
      <c r="F571" s="50">
        <f>F572+F581</f>
        <v>39779.300000000003</v>
      </c>
    </row>
    <row r="572" spans="1:6" ht="38.25" x14ac:dyDescent="0.2">
      <c r="A572" s="17" t="s">
        <v>379</v>
      </c>
      <c r="B572" s="10" t="s">
        <v>91</v>
      </c>
      <c r="C572" s="10" t="s">
        <v>86</v>
      </c>
      <c r="D572" s="10" t="s">
        <v>242</v>
      </c>
      <c r="E572" s="10"/>
      <c r="F572" s="51">
        <f>F573</f>
        <v>39579.300000000003</v>
      </c>
    </row>
    <row r="573" spans="1:6" s="39" customFormat="1" ht="13.5" x14ac:dyDescent="0.2">
      <c r="A573" s="30" t="s">
        <v>12</v>
      </c>
      <c r="B573" s="7" t="s">
        <v>91</v>
      </c>
      <c r="C573" s="7" t="s">
        <v>86</v>
      </c>
      <c r="D573" s="7" t="s">
        <v>385</v>
      </c>
      <c r="E573" s="7"/>
      <c r="F573" s="42">
        <f>F574</f>
        <v>39579.300000000003</v>
      </c>
    </row>
    <row r="574" spans="1:6" ht="25.5" x14ac:dyDescent="0.2">
      <c r="A574" s="23" t="s">
        <v>370</v>
      </c>
      <c r="B574" s="4" t="s">
        <v>91</v>
      </c>
      <c r="C574" s="4" t="s">
        <v>86</v>
      </c>
      <c r="D574" s="4" t="s">
        <v>371</v>
      </c>
      <c r="E574" s="4"/>
      <c r="F574" s="5">
        <f>F575+F579+F577</f>
        <v>39579.300000000003</v>
      </c>
    </row>
    <row r="575" spans="1:6" ht="25.5" x14ac:dyDescent="0.2">
      <c r="A575" s="23" t="s">
        <v>386</v>
      </c>
      <c r="B575" s="4" t="s">
        <v>91</v>
      </c>
      <c r="C575" s="4" t="s">
        <v>86</v>
      </c>
      <c r="D575" s="4" t="s">
        <v>372</v>
      </c>
      <c r="E575" s="4"/>
      <c r="F575" s="5">
        <f>SUM(F576:F576)</f>
        <v>19291.900000000001</v>
      </c>
    </row>
    <row r="576" spans="1:6" s="39" customFormat="1" ht="51" x14ac:dyDescent="0.2">
      <c r="A576" s="24" t="s">
        <v>132</v>
      </c>
      <c r="B576" s="6" t="s">
        <v>91</v>
      </c>
      <c r="C576" s="6" t="s">
        <v>86</v>
      </c>
      <c r="D576" s="6" t="s">
        <v>372</v>
      </c>
      <c r="E576" s="6" t="s">
        <v>138</v>
      </c>
      <c r="F576" s="82">
        <v>19291.900000000001</v>
      </c>
    </row>
    <row r="577" spans="1:6" ht="25.5" x14ac:dyDescent="0.2">
      <c r="A577" s="29" t="s">
        <v>496</v>
      </c>
      <c r="B577" s="4" t="s">
        <v>91</v>
      </c>
      <c r="C577" s="4" t="s">
        <v>86</v>
      </c>
      <c r="D577" s="4" t="s">
        <v>603</v>
      </c>
      <c r="E577" s="4"/>
      <c r="F577" s="5">
        <f>SUM(F578:F578)</f>
        <v>7000</v>
      </c>
    </row>
    <row r="578" spans="1:6" s="39" customFormat="1" ht="51" x14ac:dyDescent="0.2">
      <c r="A578" s="24" t="s">
        <v>132</v>
      </c>
      <c r="B578" s="6" t="s">
        <v>91</v>
      </c>
      <c r="C578" s="6" t="s">
        <v>86</v>
      </c>
      <c r="D578" s="6" t="s">
        <v>603</v>
      </c>
      <c r="E578" s="6" t="s">
        <v>138</v>
      </c>
      <c r="F578" s="82">
        <v>7000</v>
      </c>
    </row>
    <row r="579" spans="1:6" ht="25.5" x14ac:dyDescent="0.2">
      <c r="A579" s="23" t="s">
        <v>468</v>
      </c>
      <c r="B579" s="4" t="s">
        <v>91</v>
      </c>
      <c r="C579" s="4" t="s">
        <v>86</v>
      </c>
      <c r="D579" s="4" t="s">
        <v>392</v>
      </c>
      <c r="E579" s="4"/>
      <c r="F579" s="92">
        <f>F580</f>
        <v>13287.4</v>
      </c>
    </row>
    <row r="580" spans="1:6" ht="51" x14ac:dyDescent="0.2">
      <c r="A580" s="24" t="s">
        <v>132</v>
      </c>
      <c r="B580" s="6" t="s">
        <v>91</v>
      </c>
      <c r="C580" s="6" t="s">
        <v>86</v>
      </c>
      <c r="D580" s="6" t="s">
        <v>392</v>
      </c>
      <c r="E580" s="6" t="s">
        <v>138</v>
      </c>
      <c r="F580" s="82">
        <v>13287.4</v>
      </c>
    </row>
    <row r="581" spans="1:6" s="40" customFormat="1" x14ac:dyDescent="0.2">
      <c r="A581" s="114" t="s">
        <v>163</v>
      </c>
      <c r="B581" s="10" t="s">
        <v>91</v>
      </c>
      <c r="C581" s="10" t="s">
        <v>86</v>
      </c>
      <c r="D581" s="115" t="s">
        <v>184</v>
      </c>
      <c r="E581" s="87"/>
      <c r="F581" s="103">
        <f>F582</f>
        <v>200</v>
      </c>
    </row>
    <row r="582" spans="1:6" s="39" customFormat="1" ht="63.75" x14ac:dyDescent="0.2">
      <c r="A582" s="29" t="s">
        <v>174</v>
      </c>
      <c r="B582" s="4" t="s">
        <v>91</v>
      </c>
      <c r="C582" s="4" t="s">
        <v>86</v>
      </c>
      <c r="D582" s="69" t="s">
        <v>593</v>
      </c>
      <c r="E582" s="88"/>
      <c r="F582" s="92">
        <f>F583</f>
        <v>200</v>
      </c>
    </row>
    <row r="583" spans="1:6" x14ac:dyDescent="0.2">
      <c r="A583" s="13" t="s">
        <v>134</v>
      </c>
      <c r="B583" s="6" t="s">
        <v>91</v>
      </c>
      <c r="C583" s="6" t="s">
        <v>86</v>
      </c>
      <c r="D583" s="70" t="s">
        <v>593</v>
      </c>
      <c r="E583" s="86" t="s">
        <v>135</v>
      </c>
      <c r="F583" s="82">
        <v>200</v>
      </c>
    </row>
    <row r="584" spans="1:6" x14ac:dyDescent="0.2">
      <c r="A584" s="22" t="s">
        <v>59</v>
      </c>
      <c r="B584" s="8" t="s">
        <v>91</v>
      </c>
      <c r="C584" s="8" t="s">
        <v>76</v>
      </c>
      <c r="D584" s="8"/>
      <c r="E584" s="8"/>
      <c r="F584" s="50">
        <f>F585</f>
        <v>3193.5591800000002</v>
      </c>
    </row>
    <row r="585" spans="1:6" ht="38.25" x14ac:dyDescent="0.2">
      <c r="A585" s="17" t="s">
        <v>379</v>
      </c>
      <c r="B585" s="10" t="s">
        <v>91</v>
      </c>
      <c r="C585" s="10" t="s">
        <v>76</v>
      </c>
      <c r="D585" s="7" t="s">
        <v>242</v>
      </c>
      <c r="E585" s="10"/>
      <c r="F585" s="51">
        <f>F586</f>
        <v>3193.5591800000002</v>
      </c>
    </row>
    <row r="586" spans="1:6" ht="27" x14ac:dyDescent="0.2">
      <c r="A586" s="30" t="s">
        <v>13</v>
      </c>
      <c r="B586" s="7" t="s">
        <v>91</v>
      </c>
      <c r="C586" s="7" t="s">
        <v>76</v>
      </c>
      <c r="D586" s="7" t="s">
        <v>388</v>
      </c>
      <c r="E586" s="7"/>
      <c r="F586" s="42">
        <f>F587</f>
        <v>3193.5591800000002</v>
      </c>
    </row>
    <row r="587" spans="1:6" ht="38.25" x14ac:dyDescent="0.2">
      <c r="A587" s="29" t="s">
        <v>424</v>
      </c>
      <c r="B587" s="4" t="s">
        <v>91</v>
      </c>
      <c r="C587" s="4" t="s">
        <v>76</v>
      </c>
      <c r="D587" s="4" t="s">
        <v>388</v>
      </c>
      <c r="E587" s="4"/>
      <c r="F587" s="5">
        <f>F588+F591</f>
        <v>3193.5591800000002</v>
      </c>
    </row>
    <row r="588" spans="1:6" ht="25.5" x14ac:dyDescent="0.2">
      <c r="A588" s="23" t="s">
        <v>147</v>
      </c>
      <c r="B588" s="4" t="s">
        <v>91</v>
      </c>
      <c r="C588" s="4" t="s">
        <v>76</v>
      </c>
      <c r="D588" s="4" t="s">
        <v>374</v>
      </c>
      <c r="E588" s="4"/>
      <c r="F588" s="5">
        <f>F589+F590</f>
        <v>666.5</v>
      </c>
    </row>
    <row r="589" spans="1:6" ht="25.5" x14ac:dyDescent="0.2">
      <c r="A589" s="13" t="s">
        <v>182</v>
      </c>
      <c r="B589" s="6" t="s">
        <v>91</v>
      </c>
      <c r="C589" s="6" t="s">
        <v>76</v>
      </c>
      <c r="D589" s="6" t="s">
        <v>374</v>
      </c>
      <c r="E589" s="6" t="s">
        <v>120</v>
      </c>
      <c r="F589" s="82">
        <v>511.9</v>
      </c>
    </row>
    <row r="590" spans="1:6" ht="38.25" x14ac:dyDescent="0.2">
      <c r="A590" s="13" t="s">
        <v>183</v>
      </c>
      <c r="B590" s="6" t="s">
        <v>91</v>
      </c>
      <c r="C590" s="6" t="s">
        <v>76</v>
      </c>
      <c r="D590" s="6" t="s">
        <v>374</v>
      </c>
      <c r="E590" s="6" t="s">
        <v>176</v>
      </c>
      <c r="F590" s="82">
        <v>154.6</v>
      </c>
    </row>
    <row r="591" spans="1:6" ht="25.5" x14ac:dyDescent="0.2">
      <c r="A591" s="28" t="s">
        <v>58</v>
      </c>
      <c r="B591" s="4" t="s">
        <v>91</v>
      </c>
      <c r="C591" s="4" t="s">
        <v>76</v>
      </c>
      <c r="D591" s="4" t="s">
        <v>375</v>
      </c>
      <c r="E591" s="4"/>
      <c r="F591" s="92">
        <f>SUM(F592:F596)</f>
        <v>2527.0591800000002</v>
      </c>
    </row>
    <row r="592" spans="1:6" x14ac:dyDescent="0.2">
      <c r="A592" s="36" t="s">
        <v>285</v>
      </c>
      <c r="B592" s="6" t="s">
        <v>91</v>
      </c>
      <c r="C592" s="6" t="s">
        <v>76</v>
      </c>
      <c r="D592" s="6" t="s">
        <v>375</v>
      </c>
      <c r="E592" s="6" t="s">
        <v>151</v>
      </c>
      <c r="F592" s="82">
        <v>1767.5</v>
      </c>
    </row>
    <row r="593" spans="1:6" ht="38.25" x14ac:dyDescent="0.2">
      <c r="A593" s="13" t="s">
        <v>287</v>
      </c>
      <c r="B593" s="6" t="s">
        <v>91</v>
      </c>
      <c r="C593" s="6" t="s">
        <v>76</v>
      </c>
      <c r="D593" s="6" t="s">
        <v>375</v>
      </c>
      <c r="E593" s="6" t="s">
        <v>203</v>
      </c>
      <c r="F593" s="82">
        <v>533.79999999999995</v>
      </c>
    </row>
    <row r="594" spans="1:6" ht="25.5" x14ac:dyDescent="0.2">
      <c r="A594" s="13" t="s">
        <v>121</v>
      </c>
      <c r="B594" s="6" t="s">
        <v>91</v>
      </c>
      <c r="C594" s="6" t="s">
        <v>76</v>
      </c>
      <c r="D594" s="6" t="s">
        <v>375</v>
      </c>
      <c r="E594" s="6" t="s">
        <v>122</v>
      </c>
      <c r="F594" s="82">
        <v>37.799999999999997</v>
      </c>
    </row>
    <row r="595" spans="1:6" ht="25.5" x14ac:dyDescent="0.2">
      <c r="A595" s="13" t="s">
        <v>123</v>
      </c>
      <c r="B595" s="6" t="s">
        <v>91</v>
      </c>
      <c r="C595" s="6" t="s">
        <v>76</v>
      </c>
      <c r="D595" s="6" t="s">
        <v>375</v>
      </c>
      <c r="E595" s="6" t="s">
        <v>124</v>
      </c>
      <c r="F595" s="82">
        <v>183.95918</v>
      </c>
    </row>
    <row r="596" spans="1:6" x14ac:dyDescent="0.2">
      <c r="A596" s="13" t="s">
        <v>510</v>
      </c>
      <c r="B596" s="6" t="s">
        <v>91</v>
      </c>
      <c r="C596" s="6" t="s">
        <v>76</v>
      </c>
      <c r="D596" s="6" t="s">
        <v>375</v>
      </c>
      <c r="E596" s="6" t="s">
        <v>508</v>
      </c>
      <c r="F596" s="82">
        <v>4</v>
      </c>
    </row>
    <row r="597" spans="1:6" s="57" customFormat="1" ht="25.5" x14ac:dyDescent="0.2">
      <c r="A597" s="111" t="s">
        <v>512</v>
      </c>
      <c r="B597" s="9" t="s">
        <v>106</v>
      </c>
      <c r="C597" s="9"/>
      <c r="D597" s="9"/>
      <c r="E597" s="9"/>
      <c r="F597" s="49">
        <f>F598</f>
        <v>13.72137</v>
      </c>
    </row>
    <row r="598" spans="1:6" s="57" customFormat="1" ht="25.5" x14ac:dyDescent="0.2">
      <c r="A598" s="112" t="s">
        <v>513</v>
      </c>
      <c r="B598" s="8" t="s">
        <v>106</v>
      </c>
      <c r="C598" s="8" t="s">
        <v>72</v>
      </c>
      <c r="D598" s="8"/>
      <c r="E598" s="8"/>
      <c r="F598" s="50">
        <f>F599</f>
        <v>13.72137</v>
      </c>
    </row>
    <row r="599" spans="1:6" ht="25.5" x14ac:dyDescent="0.2">
      <c r="A599" s="38" t="s">
        <v>340</v>
      </c>
      <c r="B599" s="10" t="s">
        <v>106</v>
      </c>
      <c r="C599" s="10" t="s">
        <v>72</v>
      </c>
      <c r="D599" s="10" t="s">
        <v>178</v>
      </c>
      <c r="E599" s="10"/>
      <c r="F599" s="51">
        <f>F600</f>
        <v>13.72137</v>
      </c>
    </row>
    <row r="600" spans="1:6" ht="13.5" x14ac:dyDescent="0.25">
      <c r="A600" s="63" t="s">
        <v>514</v>
      </c>
      <c r="B600" s="7" t="s">
        <v>106</v>
      </c>
      <c r="C600" s="7" t="s">
        <v>72</v>
      </c>
      <c r="D600" s="7" t="s">
        <v>518</v>
      </c>
      <c r="E600" s="7"/>
      <c r="F600" s="42">
        <f>F601</f>
        <v>13.72137</v>
      </c>
    </row>
    <row r="601" spans="1:6" s="57" customFormat="1" ht="25.5" x14ac:dyDescent="0.2">
      <c r="A601" s="16" t="s">
        <v>515</v>
      </c>
      <c r="B601" s="4" t="s">
        <v>106</v>
      </c>
      <c r="C601" s="4" t="s">
        <v>72</v>
      </c>
      <c r="D601" s="4" t="s">
        <v>519</v>
      </c>
      <c r="E601" s="4"/>
      <c r="F601" s="5">
        <f>F602</f>
        <v>13.72137</v>
      </c>
    </row>
    <row r="602" spans="1:6" s="57" customFormat="1" x14ac:dyDescent="0.2">
      <c r="A602" s="16" t="s">
        <v>516</v>
      </c>
      <c r="B602" s="4" t="s">
        <v>106</v>
      </c>
      <c r="C602" s="4" t="s">
        <v>72</v>
      </c>
      <c r="D602" s="4" t="s">
        <v>520</v>
      </c>
      <c r="E602" s="4"/>
      <c r="F602" s="5">
        <f>SUM(F603)</f>
        <v>13.72137</v>
      </c>
    </row>
    <row r="603" spans="1:6" s="57" customFormat="1" x14ac:dyDescent="0.2">
      <c r="A603" s="108" t="s">
        <v>517</v>
      </c>
      <c r="B603" s="6" t="s">
        <v>106</v>
      </c>
      <c r="C603" s="6" t="s">
        <v>72</v>
      </c>
      <c r="D603" s="6" t="s">
        <v>520</v>
      </c>
      <c r="E603" s="6" t="s">
        <v>521</v>
      </c>
      <c r="F603" s="19">
        <v>13.72137</v>
      </c>
    </row>
    <row r="604" spans="1:6" s="57" customFormat="1" ht="38.25" x14ac:dyDescent="0.2">
      <c r="A604" s="20" t="s">
        <v>140</v>
      </c>
      <c r="B604" s="9" t="s">
        <v>93</v>
      </c>
      <c r="C604" s="9"/>
      <c r="D604" s="9"/>
      <c r="E604" s="9"/>
      <c r="F604" s="49">
        <f>F605+F613</f>
        <v>24130.91545</v>
      </c>
    </row>
    <row r="605" spans="1:6" s="57" customFormat="1" ht="38.25" x14ac:dyDescent="0.2">
      <c r="A605" s="22" t="s">
        <v>111</v>
      </c>
      <c r="B605" s="8" t="s">
        <v>93</v>
      </c>
      <c r="C605" s="8" t="s">
        <v>72</v>
      </c>
      <c r="D605" s="8"/>
      <c r="E605" s="8"/>
      <c r="F605" s="50">
        <f>F606</f>
        <v>15519.800000000001</v>
      </c>
    </row>
    <row r="606" spans="1:6" ht="25.5" x14ac:dyDescent="0.2">
      <c r="A606" s="38" t="s">
        <v>340</v>
      </c>
      <c r="B606" s="10" t="s">
        <v>93</v>
      </c>
      <c r="C606" s="10" t="s">
        <v>72</v>
      </c>
      <c r="D606" s="10" t="s">
        <v>178</v>
      </c>
      <c r="E606" s="10"/>
      <c r="F606" s="51">
        <f>F607</f>
        <v>15519.800000000001</v>
      </c>
    </row>
    <row r="607" spans="1:6" ht="27" x14ac:dyDescent="0.2">
      <c r="A607" s="30" t="s">
        <v>400</v>
      </c>
      <c r="B607" s="7" t="s">
        <v>93</v>
      </c>
      <c r="C607" s="7" t="s">
        <v>72</v>
      </c>
      <c r="D607" s="7" t="s">
        <v>186</v>
      </c>
      <c r="E607" s="7"/>
      <c r="F607" s="42">
        <f>F608</f>
        <v>15519.800000000001</v>
      </c>
    </row>
    <row r="608" spans="1:6" s="57" customFormat="1" ht="25.5" x14ac:dyDescent="0.2">
      <c r="A608" s="15" t="s">
        <v>187</v>
      </c>
      <c r="B608" s="4" t="s">
        <v>93</v>
      </c>
      <c r="C608" s="4" t="s">
        <v>72</v>
      </c>
      <c r="D608" s="4" t="s">
        <v>188</v>
      </c>
      <c r="E608" s="4"/>
      <c r="F608" s="5">
        <f>F609+F611</f>
        <v>15519.800000000001</v>
      </c>
    </row>
    <row r="609" spans="1:8" s="57" customFormat="1" ht="25.5" x14ac:dyDescent="0.2">
      <c r="A609" s="15" t="s">
        <v>96</v>
      </c>
      <c r="B609" s="4" t="s">
        <v>93</v>
      </c>
      <c r="C609" s="4" t="s">
        <v>72</v>
      </c>
      <c r="D609" s="4" t="s">
        <v>194</v>
      </c>
      <c r="E609" s="4"/>
      <c r="F609" s="5">
        <f>SUM(F610)</f>
        <v>15413.6</v>
      </c>
    </row>
    <row r="610" spans="1:8" s="57" customFormat="1" x14ac:dyDescent="0.2">
      <c r="A610" s="18" t="s">
        <v>154</v>
      </c>
      <c r="B610" s="6" t="s">
        <v>93</v>
      </c>
      <c r="C610" s="6" t="s">
        <v>72</v>
      </c>
      <c r="D610" s="6" t="s">
        <v>194</v>
      </c>
      <c r="E610" s="6" t="s">
        <v>141</v>
      </c>
      <c r="F610" s="19">
        <v>15413.6</v>
      </c>
    </row>
    <row r="611" spans="1:8" s="57" customFormat="1" ht="25.5" x14ac:dyDescent="0.2">
      <c r="A611" s="27" t="s">
        <v>153</v>
      </c>
      <c r="B611" s="4" t="s">
        <v>93</v>
      </c>
      <c r="C611" s="4" t="s">
        <v>72</v>
      </c>
      <c r="D611" s="4" t="s">
        <v>189</v>
      </c>
      <c r="E611" s="4"/>
      <c r="F611" s="5">
        <f>SUM(F612)</f>
        <v>106.2</v>
      </c>
    </row>
    <row r="612" spans="1:8" s="57" customFormat="1" x14ac:dyDescent="0.2">
      <c r="A612" s="18" t="s">
        <v>154</v>
      </c>
      <c r="B612" s="6" t="s">
        <v>93</v>
      </c>
      <c r="C612" s="6" t="s">
        <v>72</v>
      </c>
      <c r="D612" s="6" t="s">
        <v>189</v>
      </c>
      <c r="E612" s="6" t="s">
        <v>141</v>
      </c>
      <c r="F612" s="82">
        <v>106.2</v>
      </c>
    </row>
    <row r="613" spans="1:8" s="57" customFormat="1" x14ac:dyDescent="0.2">
      <c r="A613" s="22" t="s">
        <v>604</v>
      </c>
      <c r="B613" s="8" t="s">
        <v>93</v>
      </c>
      <c r="C613" s="8" t="s">
        <v>86</v>
      </c>
      <c r="D613" s="8"/>
      <c r="E613" s="8"/>
      <c r="F613" s="50">
        <f>F614+F619</f>
        <v>8611.1154499999993</v>
      </c>
    </row>
    <row r="614" spans="1:8" s="57" customFormat="1" ht="25.5" x14ac:dyDescent="0.2">
      <c r="A614" s="38" t="s">
        <v>340</v>
      </c>
      <c r="B614" s="10" t="s">
        <v>93</v>
      </c>
      <c r="C614" s="10" t="s">
        <v>86</v>
      </c>
      <c r="D614" s="10" t="s">
        <v>178</v>
      </c>
      <c r="E614" s="18"/>
      <c r="F614" s="103">
        <f>F615</f>
        <v>5800</v>
      </c>
    </row>
    <row r="615" spans="1:8" s="57" customFormat="1" ht="27" x14ac:dyDescent="0.2">
      <c r="A615" s="30" t="s">
        <v>400</v>
      </c>
      <c r="B615" s="7" t="s">
        <v>93</v>
      </c>
      <c r="C615" s="7" t="s">
        <v>86</v>
      </c>
      <c r="D615" s="7" t="s">
        <v>186</v>
      </c>
      <c r="E615" s="18"/>
      <c r="F615" s="103">
        <f>F616</f>
        <v>5800</v>
      </c>
    </row>
    <row r="616" spans="1:8" s="57" customFormat="1" ht="25.5" x14ac:dyDescent="0.2">
      <c r="A616" s="15" t="s">
        <v>187</v>
      </c>
      <c r="B616" s="4" t="s">
        <v>93</v>
      </c>
      <c r="C616" s="4" t="s">
        <v>86</v>
      </c>
      <c r="D616" s="4" t="s">
        <v>188</v>
      </c>
      <c r="E616" s="18"/>
      <c r="F616" s="92">
        <f>F617+F632</f>
        <v>5800</v>
      </c>
    </row>
    <row r="617" spans="1:8" s="57" customFormat="1" ht="25.5" x14ac:dyDescent="0.2">
      <c r="A617" s="15" t="s">
        <v>605</v>
      </c>
      <c r="B617" s="4" t="s">
        <v>93</v>
      </c>
      <c r="C617" s="4" t="s">
        <v>86</v>
      </c>
      <c r="D617" s="4" t="s">
        <v>606</v>
      </c>
      <c r="E617" s="4"/>
      <c r="F617" s="92">
        <f>F618</f>
        <v>5800</v>
      </c>
    </row>
    <row r="618" spans="1:8" s="57" customFormat="1" x14ac:dyDescent="0.2">
      <c r="A618" s="18" t="s">
        <v>175</v>
      </c>
      <c r="B618" s="6" t="s">
        <v>93</v>
      </c>
      <c r="C618" s="6" t="s">
        <v>86</v>
      </c>
      <c r="D618" s="6" t="s">
        <v>606</v>
      </c>
      <c r="E618" s="6" t="s">
        <v>128</v>
      </c>
      <c r="F618" s="82">
        <v>5800</v>
      </c>
    </row>
    <row r="619" spans="1:8" s="57" customFormat="1" x14ac:dyDescent="0.2">
      <c r="A619" s="33" t="s">
        <v>163</v>
      </c>
      <c r="B619" s="115" t="s">
        <v>93</v>
      </c>
      <c r="C619" s="115" t="s">
        <v>86</v>
      </c>
      <c r="D619" s="10" t="s">
        <v>184</v>
      </c>
      <c r="E619" s="115"/>
      <c r="F619" s="103">
        <f>F620</f>
        <v>2811.1154499999998</v>
      </c>
    </row>
    <row r="620" spans="1:8" s="57" customFormat="1" ht="63.75" x14ac:dyDescent="0.2">
      <c r="A620" s="28" t="s">
        <v>607</v>
      </c>
      <c r="B620" s="4" t="s">
        <v>93</v>
      </c>
      <c r="C620" s="4" t="s">
        <v>86</v>
      </c>
      <c r="D620" s="4" t="s">
        <v>593</v>
      </c>
      <c r="E620" s="4"/>
      <c r="F620" s="92">
        <f>F621</f>
        <v>2811.1154499999998</v>
      </c>
    </row>
    <row r="621" spans="1:8" x14ac:dyDescent="0.2">
      <c r="A621" s="34" t="s">
        <v>175</v>
      </c>
      <c r="B621" s="6" t="s">
        <v>93</v>
      </c>
      <c r="C621" s="6" t="s">
        <v>86</v>
      </c>
      <c r="D621" s="6" t="s">
        <v>593</v>
      </c>
      <c r="E621" s="6" t="s">
        <v>128</v>
      </c>
      <c r="F621" s="82">
        <v>2811.1154499999998</v>
      </c>
    </row>
    <row r="622" spans="1:8" x14ac:dyDescent="0.2">
      <c r="A622" s="47" t="s">
        <v>89</v>
      </c>
      <c r="B622" s="55"/>
      <c r="C622" s="55"/>
      <c r="D622" s="55"/>
      <c r="E622" s="55"/>
      <c r="F622" s="48">
        <f>F18+F159+F166+F246+F295+F440+F507+F547+F604+F597</f>
        <v>2761959.64597</v>
      </c>
      <c r="H622" s="95"/>
    </row>
    <row r="624" spans="1:8" x14ac:dyDescent="0.2">
      <c r="E624" s="95"/>
      <c r="F624" s="95"/>
    </row>
    <row r="625" spans="4:6" x14ac:dyDescent="0.2">
      <c r="E625" s="12"/>
      <c r="F625" s="78">
        <f>2755259.64597+6700</f>
        <v>2761959.64597</v>
      </c>
    </row>
    <row r="626" spans="4:6" x14ac:dyDescent="0.2">
      <c r="E626" s="12"/>
      <c r="F626" s="78"/>
    </row>
    <row r="627" spans="4:6" x14ac:dyDescent="0.2">
      <c r="E627" s="95"/>
      <c r="F627" s="78">
        <f>F622-F625</f>
        <v>0</v>
      </c>
    </row>
    <row r="628" spans="4:6" x14ac:dyDescent="0.2">
      <c r="D628" s="12"/>
      <c r="E628" s="12"/>
      <c r="F628" s="78"/>
    </row>
    <row r="629" spans="4:6" x14ac:dyDescent="0.2">
      <c r="F629" s="99"/>
    </row>
    <row r="630" spans="4:6" x14ac:dyDescent="0.2">
      <c r="F630" s="12"/>
    </row>
    <row r="631" spans="4:6" x14ac:dyDescent="0.2">
      <c r="F631" s="12"/>
    </row>
    <row r="632" spans="4:6" x14ac:dyDescent="0.2">
      <c r="F632" s="12"/>
    </row>
    <row r="634" spans="4:6" x14ac:dyDescent="0.2">
      <c r="F634" s="109"/>
    </row>
  </sheetData>
  <autoFilter ref="A17:F629" xr:uid="{00000000-0009-0000-0000-000000000000}"/>
  <customSheetViews>
    <customSheetView guid="{629918FE-B1DF-464A-BF50-03D18729BC02}" showPageBreaks="1" printArea="1" showAutoFilter="1" view="pageBreakPreview">
      <selection activeCell="F3" sqref="F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F629" xr:uid="{00000000-0009-0000-0000-000000000000}"/>
    </customSheetView>
    <customSheetView guid="{46268BFF-7767-41AD-8DD2-9220C9E060B5}" showPageBreaks="1" printArea="1" showAutoFilter="1" view="pageBreakPreview">
      <selection activeCell="F1" sqref="F1:F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F530" xr:uid="{B715895D-CB01-43B5-BDC9-569BA39F3064}"/>
    </customSheetView>
    <customSheetView guid="{2DDB525D-A756-4AF2-961D-1A48B45E104D}" showPageBreaks="1" printArea="1" showAutoFilter="1" view="pageBreakPreview">
      <selection sqref="A1:XFD52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F530" xr:uid="{8D37B9BD-2A1B-4F11-A5CD-035D67C95608}"/>
    </customSheetView>
  </customSheetViews>
  <mergeCells count="5">
    <mergeCell ref="E10:F10"/>
    <mergeCell ref="A14:F14"/>
    <mergeCell ref="F16:F17"/>
    <mergeCell ref="B16:E16"/>
    <mergeCell ref="A16:A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функцион.структура</vt:lpstr>
      <vt:lpstr>функцион.структура!Область_печати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2023-03-14T09:05:08Z</cp:lastPrinted>
  <dcterms:created xsi:type="dcterms:W3CDTF">2004-12-22T00:45:04Z</dcterms:created>
  <dcterms:modified xsi:type="dcterms:W3CDTF">2023-03-24T01:57:33Z</dcterms:modified>
</cp:coreProperties>
</file>