
<file path=[Content_Types].xml><?xml version="1.0" encoding="utf-8"?>
<Types xmlns="http://schemas.openxmlformats.org/package/2006/content-types">
  <Override PartName="/xl/styles.xml" ContentType="application/vnd.openxmlformats-officedocument.spreadsheetml.styles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38.xml" ContentType="application/vnd.openxmlformats-officedocument.spreadsheetml.revisionLog+xml"/>
  <Default Extension="xml" ContentType="application/xml"/>
  <Override PartName="/xl/revisions/revisionLog12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222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.xml" ContentType="application/vnd.openxmlformats-officedocument.spreadsheetml.revisionLog+xml"/>
  <Default Extension="bin" ContentType="application/vnd.openxmlformats-officedocument.spreadsheetml.printerSettings"/>
  <Override PartName="/xl/revisions/revisionLog7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6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4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7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3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611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58.xml" ContentType="application/vnd.openxmlformats-officedocument.spreadsheetml.revisionLog+xml"/>
  <Default Extension="rels" ContentType="application/vnd.openxmlformats-package.relationships+xml"/>
  <Override PartName="/xl/revisions/revisionLog4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Мун.программы" sheetId="1" r:id="rId1"/>
  </sheets>
  <definedNames>
    <definedName name="_xlnm._FilterDatabase" localSheetId="0" hidden="1">Мун.программы!$A$20:$Q$428</definedName>
    <definedName name="Top" localSheetId="0">Мун.программы!#REF!</definedName>
    <definedName name="Z_05C85BF9_8C41_41CA_9EE3_7E2936336E84_.wvu.FilterData" localSheetId="0" hidden="1">Мун.программы!$A$20:$Q$428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Мун.программы!$A$20:$Q$428</definedName>
    <definedName name="Z_106D9765_3D6F_4710_B925_E44D9570C8C1_.wvu.PrintArea" localSheetId="0" hidden="1">Мун.программы!$A$1:$H$292</definedName>
    <definedName name="Z_63C81512_0323_449A_8D16_969602EE6D8D_.wvu.FilterData" localSheetId="0" hidden="1">Мун.программы!$A$20:$Q$428</definedName>
    <definedName name="Z_63C81512_0323_449A_8D16_969602EE6D8D_.wvu.PrintArea" localSheetId="0" hidden="1">Мун.программы!$A$1:$H$292</definedName>
    <definedName name="Z_C050815F_608D_4696_BF1D_66B69F749BD0_.wvu.FilterData" localSheetId="0" hidden="1">Мун.программы!$A$20:$Q$428</definedName>
    <definedName name="Z_C050815F_608D_4696_BF1D_66B69F749BD0_.wvu.PrintArea" localSheetId="0" hidden="1">Мун.программы!$A$1:$H$292</definedName>
    <definedName name="Z_CE9B43C0_7C32_48E1_B1FE_FA78D0E9BE22_.wvu.FilterData" localSheetId="0" hidden="1">Мун.программы!$A$20:$Q$428</definedName>
    <definedName name="Z_CE9B43C0_7C32_48E1_B1FE_FA78D0E9BE22_.wvu.PrintArea" localSheetId="0" hidden="1">Мун.программы!$A$1:$H$292</definedName>
    <definedName name="Z_DD9A8EC0_978F_40DB_8504_69866F97ABC3_.wvu.FilterData" localSheetId="0" hidden="1">Мун.программы!$A$20:$Q$428</definedName>
    <definedName name="Z_DD9A8EC0_978F_40DB_8504_69866F97ABC3_.wvu.PrintArea" localSheetId="0" hidden="1">Мун.программы!$A$1:$H$292</definedName>
    <definedName name="_xlnm.Print_Area" localSheetId="0">Мун.программы!$A$1:$H$292</definedName>
  </definedNames>
  <calcPr calcId="125725"/>
  <customWorkbookViews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/>
  <c r="H268"/>
  <c r="H266" s="1"/>
  <c r="G268"/>
  <c r="G267" s="1"/>
  <c r="G266" s="1"/>
  <c r="G62"/>
  <c r="G67"/>
  <c r="H188"/>
  <c r="G188"/>
  <c r="H267" l="1"/>
  <c r="H290" l="1"/>
  <c r="H289" s="1"/>
  <c r="G290"/>
  <c r="G289" s="1"/>
  <c r="H287"/>
  <c r="H286" s="1"/>
  <c r="G287"/>
  <c r="G286" s="1"/>
  <c r="H284"/>
  <c r="H283" s="1"/>
  <c r="G284"/>
  <c r="G283" s="1"/>
  <c r="H71"/>
  <c r="G71"/>
  <c r="H67"/>
  <c r="G66"/>
  <c r="G65" s="1"/>
  <c r="H65"/>
  <c r="H62"/>
  <c r="H90"/>
  <c r="H89" s="1"/>
  <c r="G90"/>
  <c r="G89" s="1"/>
  <c r="H86"/>
  <c r="H85" s="1"/>
  <c r="G86"/>
  <c r="G85" s="1"/>
  <c r="H83"/>
  <c r="H82" s="1"/>
  <c r="G83"/>
  <c r="G82" s="1"/>
  <c r="G79"/>
  <c r="G78" s="1"/>
  <c r="G81" l="1"/>
  <c r="G77" s="1"/>
  <c r="H81"/>
  <c r="G61"/>
  <c r="H282"/>
  <c r="G282"/>
  <c r="H61"/>
  <c r="H60" s="1"/>
  <c r="G265"/>
  <c r="H146"/>
  <c r="H147"/>
  <c r="G147"/>
  <c r="G146"/>
  <c r="H154" l="1"/>
  <c r="G154"/>
  <c r="H57" l="1"/>
  <c r="G137"/>
  <c r="H172" l="1"/>
  <c r="G172"/>
  <c r="H207"/>
  <c r="G207"/>
  <c r="H206"/>
  <c r="G206"/>
  <c r="H168"/>
  <c r="G168"/>
  <c r="G234" l="1"/>
  <c r="H234"/>
  <c r="H192"/>
  <c r="G192"/>
  <c r="G199"/>
  <c r="H191"/>
  <c r="G191"/>
  <c r="H183"/>
  <c r="G183"/>
  <c r="H181"/>
  <c r="G181"/>
  <c r="H79"/>
  <c r="H78" s="1"/>
  <c r="H77" s="1"/>
  <c r="H195" l="1"/>
  <c r="H194" s="1"/>
  <c r="G195"/>
  <c r="G194" s="1"/>
  <c r="H186"/>
  <c r="G186"/>
  <c r="G119"/>
  <c r="H59"/>
  <c r="G59"/>
  <c r="H56"/>
  <c r="H27"/>
  <c r="G27"/>
  <c r="G56"/>
  <c r="H212"/>
  <c r="G212"/>
  <c r="G165"/>
  <c r="G164" s="1"/>
  <c r="H164"/>
  <c r="G40"/>
  <c r="G60" l="1"/>
  <c r="H149" l="1"/>
  <c r="G149"/>
  <c r="H138" l="1"/>
  <c r="G138"/>
  <c r="I110" l="1"/>
  <c r="K110" l="1"/>
  <c r="J110" l="1"/>
  <c r="G276" l="1"/>
  <c r="J159"/>
  <c r="G239" l="1"/>
  <c r="H272" l="1"/>
  <c r="H271" s="1"/>
  <c r="H270" s="1"/>
  <c r="G272"/>
  <c r="G271" s="1"/>
  <c r="G270" s="1"/>
  <c r="H180"/>
  <c r="G180"/>
  <c r="H178"/>
  <c r="G178"/>
  <c r="H198"/>
  <c r="H197" s="1"/>
  <c r="G198"/>
  <c r="G197" s="1"/>
  <c r="H45"/>
  <c r="H44" s="1"/>
  <c r="H43" s="1"/>
  <c r="G45"/>
  <c r="G44" s="1"/>
  <c r="G43" s="1"/>
  <c r="H23"/>
  <c r="H22" s="1"/>
  <c r="G23"/>
  <c r="G22" s="1"/>
  <c r="G162"/>
  <c r="G166"/>
  <c r="G174"/>
  <c r="G176"/>
  <c r="G182"/>
  <c r="G190"/>
  <c r="G184"/>
  <c r="G202"/>
  <c r="G205"/>
  <c r="G210"/>
  <c r="G214"/>
  <c r="G217"/>
  <c r="G224"/>
  <c r="G227"/>
  <c r="G222"/>
  <c r="G238"/>
  <c r="G242"/>
  <c r="G241" s="1"/>
  <c r="G244"/>
  <c r="H95"/>
  <c r="H97"/>
  <c r="H101"/>
  <c r="H103"/>
  <c r="H109"/>
  <c r="H107"/>
  <c r="H113"/>
  <c r="H112" s="1"/>
  <c r="H116"/>
  <c r="H115" s="1"/>
  <c r="H119"/>
  <c r="H210"/>
  <c r="H145"/>
  <c r="G145"/>
  <c r="H126"/>
  <c r="H125" s="1"/>
  <c r="G126"/>
  <c r="G124" s="1"/>
  <c r="G113"/>
  <c r="G112" s="1"/>
  <c r="G39"/>
  <c r="G95"/>
  <c r="H136"/>
  <c r="G136"/>
  <c r="H166"/>
  <c r="H202"/>
  <c r="H153"/>
  <c r="H152" s="1"/>
  <c r="H151" s="1"/>
  <c r="G153"/>
  <c r="G152" s="1"/>
  <c r="G151" s="1"/>
  <c r="H264"/>
  <c r="H263" s="1"/>
  <c r="H262" s="1"/>
  <c r="G264"/>
  <c r="G263" s="1"/>
  <c r="G262" s="1"/>
  <c r="H34"/>
  <c r="H33" s="1"/>
  <c r="H32" s="1"/>
  <c r="H39"/>
  <c r="H41"/>
  <c r="G34"/>
  <c r="G33" s="1"/>
  <c r="G32" s="1"/>
  <c r="G41"/>
  <c r="H50"/>
  <c r="H49" s="1"/>
  <c r="H54"/>
  <c r="H58"/>
  <c r="G50"/>
  <c r="G49" s="1"/>
  <c r="G54"/>
  <c r="G58"/>
  <c r="H256"/>
  <c r="H255" s="1"/>
  <c r="H254" s="1"/>
  <c r="G256"/>
  <c r="G255" s="1"/>
  <c r="G254" s="1"/>
  <c r="H142"/>
  <c r="G142"/>
  <c r="I159"/>
  <c r="G116"/>
  <c r="G115" s="1"/>
  <c r="G109"/>
  <c r="G107"/>
  <c r="H224"/>
  <c r="H227"/>
  <c r="H222"/>
  <c r="H217"/>
  <c r="H239"/>
  <c r="H238" s="1"/>
  <c r="H242"/>
  <c r="H241" s="1"/>
  <c r="H205"/>
  <c r="H162"/>
  <c r="H26"/>
  <c r="H25" s="1"/>
  <c r="H28"/>
  <c r="G26"/>
  <c r="G25" s="1"/>
  <c r="H75"/>
  <c r="H74" s="1"/>
  <c r="H73" s="1"/>
  <c r="H252"/>
  <c r="H251" s="1"/>
  <c r="H250" s="1"/>
  <c r="H260"/>
  <c r="H259" s="1"/>
  <c r="H258" s="1"/>
  <c r="H280"/>
  <c r="H279" s="1"/>
  <c r="H278" s="1"/>
  <c r="H276"/>
  <c r="H275" s="1"/>
  <c r="H274" s="1"/>
  <c r="H174"/>
  <c r="H176"/>
  <c r="H182"/>
  <c r="H184"/>
  <c r="H214"/>
  <c r="H190"/>
  <c r="H244"/>
  <c r="H248"/>
  <c r="H247" s="1"/>
  <c r="H246" s="1"/>
  <c r="H157"/>
  <c r="H156" s="1"/>
  <c r="H155" s="1"/>
  <c r="G28"/>
  <c r="G75"/>
  <c r="G74" s="1"/>
  <c r="G73" s="1"/>
  <c r="G252"/>
  <c r="G251" s="1"/>
  <c r="G250" s="1"/>
  <c r="G260"/>
  <c r="G259" s="1"/>
  <c r="G258" s="1"/>
  <c r="G280"/>
  <c r="G279" s="1"/>
  <c r="G278" s="1"/>
  <c r="G275"/>
  <c r="G274" s="1"/>
  <c r="G101"/>
  <c r="G103"/>
  <c r="G97"/>
  <c r="G248"/>
  <c r="G247" s="1"/>
  <c r="G246" s="1"/>
  <c r="G157"/>
  <c r="G156" s="1"/>
  <c r="G155" s="1"/>
  <c r="H29"/>
  <c r="G29"/>
  <c r="H171" l="1"/>
  <c r="H170" s="1"/>
  <c r="G171"/>
  <c r="G170" s="1"/>
  <c r="H141"/>
  <c r="H140" s="1"/>
  <c r="G100"/>
  <c r="G99" s="1"/>
  <c r="G141"/>
  <c r="G140" s="1"/>
  <c r="H53"/>
  <c r="H48" s="1"/>
  <c r="H47" s="1"/>
  <c r="G53"/>
  <c r="G48" s="1"/>
  <c r="G47" s="1"/>
  <c r="H161"/>
  <c r="H160" s="1"/>
  <c r="H221"/>
  <c r="H220" s="1"/>
  <c r="G221"/>
  <c r="G220" s="1"/>
  <c r="G161"/>
  <c r="G160" s="1"/>
  <c r="G201"/>
  <c r="G200" s="1"/>
  <c r="H201"/>
  <c r="H200" s="1"/>
  <c r="G21"/>
  <c r="G38"/>
  <c r="G37" s="1"/>
  <c r="G31" s="1"/>
  <c r="G106"/>
  <c r="G105" s="1"/>
  <c r="H100"/>
  <c r="H99" s="1"/>
  <c r="H94"/>
  <c r="H93" s="1"/>
  <c r="G125"/>
  <c r="H124"/>
  <c r="H38"/>
  <c r="H37" s="1"/>
  <c r="H31" s="1"/>
  <c r="H135"/>
  <c r="H134" s="1"/>
  <c r="H111"/>
  <c r="G135"/>
  <c r="G134" s="1"/>
  <c r="H21"/>
  <c r="H106"/>
  <c r="H105" s="1"/>
  <c r="G237"/>
  <c r="G209"/>
  <c r="G208" s="1"/>
  <c r="H209"/>
  <c r="H208" s="1"/>
  <c r="G111"/>
  <c r="G94"/>
  <c r="G93" s="1"/>
  <c r="H131"/>
  <c r="G131"/>
  <c r="H237"/>
  <c r="G92" l="1"/>
  <c r="H92"/>
  <c r="H129"/>
  <c r="H128" s="1"/>
  <c r="H123" s="1"/>
  <c r="H130"/>
  <c r="G159"/>
  <c r="I161" s="1"/>
  <c r="G129"/>
  <c r="G128" s="1"/>
  <c r="G123" s="1"/>
  <c r="G130"/>
  <c r="H159"/>
  <c r="J161" s="1"/>
  <c r="H292" l="1"/>
  <c r="G292"/>
  <c r="G296" s="1"/>
  <c r="H296" l="1"/>
</calcChain>
</file>

<file path=xl/sharedStrings.xml><?xml version="1.0" encoding="utf-8"?>
<sst xmlns="http://schemas.openxmlformats.org/spreadsheetml/2006/main" count="1368" uniqueCount="399">
  <si>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</si>
  <si>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</si>
  <si>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</si>
  <si>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</si>
  <si>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</si>
  <si>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</si>
  <si>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</si>
  <si>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</si>
  <si>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</si>
  <si>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</si>
  <si>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</si>
  <si>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</si>
  <si>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</si>
  <si>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</si>
  <si>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</si>
  <si>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</si>
  <si>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</si>
  <si>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</si>
  <si>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</si>
  <si>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</si>
  <si>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</si>
  <si>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</si>
  <si>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</si>
  <si>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</si>
  <si>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</si>
  <si>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</si>
  <si>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</si>
  <si>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</si>
  <si>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</si>
  <si>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</si>
  <si>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</si>
  <si>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</si>
  <si>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</si>
  <si>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</si>
  <si>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</si>
  <si>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</si>
  <si>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</si>
  <si>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</si>
  <si>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</si>
  <si>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</si>
  <si>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</si>
  <si>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</si>
  <si>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</si>
  <si>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</si>
  <si>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</si>
  <si>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</si>
  <si>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</si>
  <si>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</si>
  <si>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</si>
  <si>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</si>
  <si>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</si>
  <si>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</si>
  <si>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</si>
  <si>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</si>
  <si>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</si>
  <si>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</si>
  <si>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</si>
  <si>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</si>
  <si>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</si>
  <si>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</si>
  <si>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</si>
  <si>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</si>
  <si>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</si>
  <si>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</si>
  <si>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</si>
  <si>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</si>
  <si>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</si>
  <si>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</si>
  <si>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</si>
  <si>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</si>
  <si>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</si>
  <si>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</si>
  <si>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</si>
  <si>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</si>
  <si>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</si>
  <si>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</si>
  <si>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</si>
  <si>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</si>
  <si>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</si>
  <si>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</si>
  <si>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</si>
  <si>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</si>
  <si>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</si>
  <si>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</si>
  <si>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</si>
  <si>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</si>
  <si>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</si>
  <si>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</si>
  <si>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</si>
  <si>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</si>
  <si>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</si>
  <si>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</si>
  <si>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</si>
  <si>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</si>
  <si>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</si>
  <si>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</si>
  <si>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</si>
  <si>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</si>
  <si>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</si>
  <si>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</si>
  <si>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</si>
  <si>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</si>
  <si>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</si>
  <si>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</si>
  <si>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</si>
  <si>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</si>
  <si>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</si>
  <si>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</si>
  <si>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</si>
  <si>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</si>
  <si>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</si>
  <si>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</si>
  <si>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</si>
  <si>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</si>
  <si>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</si>
  <si>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</si>
  <si>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</si>
  <si>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</si>
  <si>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</si>
  <si>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</si>
  <si>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</si>
  <si>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</si>
  <si>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</si>
  <si>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</si>
  <si>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</si>
  <si>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</si>
  <si>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</si>
  <si>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</si>
  <si>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</si>
  <si>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</si>
  <si>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</si>
  <si>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</si>
  <si>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</si>
  <si>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</si>
  <si>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</si>
  <si>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</si>
  <si>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</si>
  <si>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</si>
  <si>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</si>
  <si>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</si>
  <si>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</si>
  <si>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</si>
  <si>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</si>
  <si>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</si>
  <si>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</si>
  <si>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</si>
  <si>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</si>
  <si>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</si>
  <si>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</si>
  <si>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</si>
  <si>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</si>
  <si>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</si>
  <si>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</si>
  <si>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</si>
  <si>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</si>
  <si>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</si>
  <si>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</si>
  <si>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</si>
  <si>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</si>
  <si>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</si>
  <si>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</si>
  <si>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</si>
  <si>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</si>
  <si>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</si>
  <si>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</si>
  <si>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</si>
  <si>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</si>
  <si>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</si>
  <si>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</si>
  <si>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</si>
  <si>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</si>
  <si>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</si>
  <si>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</si>
  <si>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</si>
  <si>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</si>
  <si>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</si>
  <si>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</si>
  <si>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</si>
  <si>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</si>
  <si>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</si>
  <si>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</si>
  <si>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</si>
  <si>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16000 00000</t>
  </si>
  <si>
    <t>Основное мероприятие "Благоустройство дворовых и общественных территорий "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</si>
  <si>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</si>
  <si>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</si>
  <si>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</si>
  <si>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</si>
  <si>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</si>
  <si>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</si>
  <si>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</si>
  <si>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</si>
  <si>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</si>
  <si>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</si>
  <si>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</si>
  <si>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</si>
  <si>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</si>
  <si>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</si>
  <si>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</si>
  <si>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</si>
  <si>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</si>
  <si>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</si>
  <si>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</si>
  <si>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</si>
  <si>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</si>
  <si>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</si>
  <si>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</si>
  <si>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</si>
  <si>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</si>
  <si>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</si>
  <si>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</si>
  <si>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</si>
  <si>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</si>
  <si>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</si>
  <si>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</si>
  <si>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</si>
  <si>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</si>
  <si>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</si>
  <si>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</si>
  <si>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</si>
  <si>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</si>
  <si>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</si>
  <si>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</si>
  <si>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</si>
  <si>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</si>
  <si>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</si>
  <si>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</si>
  <si>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</si>
  <si>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</si>
  <si>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</si>
  <si>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</si>
  <si>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</si>
  <si>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</si>
  <si>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</si>
  <si>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</si>
  <si>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</si>
  <si>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</si>
  <si>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</si>
  <si>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</si>
  <si>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</si>
  <si>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</si>
  <si>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</si>
  <si>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</si>
  <si>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</si>
  <si>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</si>
  <si>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</si>
  <si>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</si>
  <si>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</si>
  <si>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</si>
  <si>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</si>
  <si>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</si>
  <si>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</si>
  <si>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</si>
  <si>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</si>
  <si>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</si>
  <si>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</si>
  <si>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</si>
  <si>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</si>
  <si>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</si>
  <si>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</si>
  <si>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</si>
  <si>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</si>
  <si>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</si>
  <si>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</si>
  <si>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</si>
  <si>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</si>
  <si>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</si>
  <si>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</si>
  <si>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</si>
  <si>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</si>
  <si>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</si>
  <si>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</si>
  <si>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</si>
  <si>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</si>
  <si>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</si>
  <si>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</si>
  <si>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</si>
  <si>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</si>
  <si>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</si>
  <si>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</si>
  <si>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10201 S2Л40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</si>
  <si>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</si>
  <si>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</si>
  <si>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</si>
  <si>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</si>
  <si>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</si>
  <si>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</si>
  <si>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</si>
  <si>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</si>
  <si>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</si>
  <si>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</si>
  <si>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</si>
  <si>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</si>
  <si>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</si>
  <si>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</si>
  <si>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</si>
  <si>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</si>
  <si>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</si>
  <si>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</si>
  <si>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</si>
  <si>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</si>
  <si>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«Селенгинский район» на 2023 год</t>
  </si>
  <si>
    <t>плановый период 2024-2025 годов"</t>
  </si>
  <si>
    <t xml:space="preserve">Распределение бюджетных ассигнований по муниципальным программам на 2024-2025 год </t>
  </si>
  <si>
    <t>Обеспечение комплексного развития сельских территорий</t>
  </si>
  <si>
    <t>Развитие транспортной инфраструктуры на сельских территориях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</si>
  <si>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</si>
  <si>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</si>
  <si>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</si>
  <si>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</si>
  <si>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</si>
  <si>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</si>
  <si>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</si>
  <si>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</si>
  <si>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</si>
  <si>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</si>
  <si>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</si>
  <si>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</si>
  <si>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04103 L5110</t>
  </si>
  <si>
    <t>04103 S2310</t>
  </si>
  <si>
    <t>от "23" декабря 2022 № 227</t>
  </si>
  <si>
    <t>360</t>
  </si>
  <si>
    <t>Иные выплаты населению</t>
  </si>
  <si>
    <t>06040 L5760</t>
  </si>
  <si>
    <t>06040 00000</t>
  </si>
  <si>
    <t>06010 00000</t>
  </si>
  <si>
    <t>06010 82900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</si>
  <si>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</si>
  <si>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06030 00000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</si>
  <si>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</si>
  <si>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</si>
  <si>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</si>
  <si>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</si>
  <si>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</si>
  <si>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06036 L5760</t>
  </si>
  <si>
    <t>Иные межбюджетные трансферты</t>
  </si>
  <si>
    <t>540</t>
  </si>
  <si>
    <t>Субсидии автономным учреждениям на иные цели</t>
  </si>
  <si>
    <t>Реализация мероприятий по строительству жилья, предоставляемого по договору найма жилого помещения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</si>
  <si>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</si>
  <si>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</si>
  <si>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</si>
  <si>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</si>
  <si>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</si>
  <si>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</si>
  <si>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04304 R3720</t>
  </si>
  <si>
    <t>04304 S21Д0</t>
  </si>
  <si>
    <t>043R1 722Д0</t>
  </si>
  <si>
    <t>к решению районного Совета депутатов МО "Селенгинский район"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</si>
  <si>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</si>
  <si>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</si>
  <si>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</si>
  <si>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</si>
  <si>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</si>
  <si>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</si>
  <si>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</si>
  <si>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25002 00000</t>
  </si>
  <si>
    <t>25002 82900</t>
  </si>
  <si>
    <t>25003 00000</t>
  </si>
  <si>
    <t>25003 82900</t>
  </si>
  <si>
    <t xml:space="preserve">Приложение №9     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</si>
  <si>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</si>
  <si>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</si>
  <si>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Cтроительство и реконструкция (модернизация) объектов питьевого водоснабжения</t>
  </si>
  <si>
    <t>17000 00000</t>
  </si>
  <si>
    <t>170F5 52430</t>
  </si>
  <si>
    <t>Основное мероприятие "Улучшение качества питьевой воды"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</si>
  <si>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</si>
  <si>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</si>
  <si>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</si>
  <si>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</si>
  <si>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</si>
  <si>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</si>
  <si>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</si>
  <si>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</si>
  <si>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</si>
  <si>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</si>
  <si>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</si>
  <si>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</si>
  <si>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</si>
  <si>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</si>
  <si>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</si>
  <si>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</si>
  <si>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</si>
  <si>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</si>
  <si>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</si>
  <si>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</si>
  <si>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</si>
  <si>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</si>
  <si>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МП «Развитие образования в Селенгинском районе на 2020-2025 годы"</t>
  </si>
  <si>
    <t>Муниципальная программа «Старшее поколение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</si>
  <si>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</si>
  <si>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</si>
  <si>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</si>
  <si>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"Чистая вода на 2020-2025 годы"</t>
  </si>
  <si>
    <t>170F5 00000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</si>
  <si>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</si>
  <si>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"Профилактика преступлений и иных правонарушений в Селенгинском районе на 2023-2025 годы"</t>
  </si>
  <si>
    <t>от "02" ноября  2023  № 286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</si>
</sst>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0000"/>
    <numFmt numFmtId="166" formatCode="_-* #,##0.00000\ _₽_-;\-* #,##0.00000\ _₽_-;_-* &quot;-&quot;??\ _₽_-;_-@_-"/>
    <numFmt numFmtId="167" formatCode="#,##0.00000"/>
    <numFmt numFmtId="168" formatCode="_-* #,##0.00000\ _₽_-;\-* #,##0.00000\ _₽_-;_-* &quot;-&quot;?????\ _₽_-;_-@_-"/>
  </numFmts>
  <fonts count="2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4" fontId="17" fillId="3" borderId="0" xfId="0" applyNumberFormat="1" applyFont="1" applyFill="1" applyAlignment="1">
      <alignment horizontal="center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10" fillId="0" borderId="0" xfId="0" applyNumberFormat="1" applyFont="1" applyAlignment="1">
      <alignment wrapText="1"/>
    </xf>
    <xf numFmtId="165" fontId="6" fillId="5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7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8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1.xml"/><Relationship Id="rId34" Type="http://schemas.openxmlformats.org/officeDocument/2006/relationships/revisionLog" Target="revisionLog111.xml"/><Relationship Id="rId42" Type="http://schemas.openxmlformats.org/officeDocument/2006/relationships/revisionLog" Target="revisionLog7.xml"/><Relationship Id="rId47" Type="http://schemas.openxmlformats.org/officeDocument/2006/relationships/revisionLog" Target="revisionLog14.xml"/><Relationship Id="rId50" Type="http://schemas.openxmlformats.org/officeDocument/2006/relationships/revisionLog" Target="revisionLog121.xml"/><Relationship Id="rId55" Type="http://schemas.openxmlformats.org/officeDocument/2006/relationships/revisionLog" Target="revisionLog13.xml"/><Relationship Id="rId63" Type="http://schemas.openxmlformats.org/officeDocument/2006/relationships/revisionLog" Target="revisionLog25.xml"/><Relationship Id="rId68" Type="http://schemas.openxmlformats.org/officeDocument/2006/relationships/revisionLog" Target="revisionLog15.xml"/><Relationship Id="rId76" Type="http://schemas.openxmlformats.org/officeDocument/2006/relationships/revisionLog" Target="revisionLog36.xml"/><Relationship Id="rId84" Type="http://schemas.openxmlformats.org/officeDocument/2006/relationships/revisionLog" Target="revisionLog44.xml"/><Relationship Id="rId89" Type="http://schemas.openxmlformats.org/officeDocument/2006/relationships/revisionLog" Target="revisionLog49.xml"/><Relationship Id="rId97" Type="http://schemas.openxmlformats.org/officeDocument/2006/relationships/revisionLog" Target="revisionLog57.xml"/><Relationship Id="rId104" Type="http://schemas.openxmlformats.org/officeDocument/2006/relationships/revisionLog" Target="revisionLog63.xml"/><Relationship Id="rId112" Type="http://schemas.openxmlformats.org/officeDocument/2006/relationships/revisionLog" Target="revisionLog67.xml"/><Relationship Id="rId120" Type="http://schemas.openxmlformats.org/officeDocument/2006/relationships/revisionLog" Target="revisionLog74.xml"/><Relationship Id="rId125" Type="http://schemas.openxmlformats.org/officeDocument/2006/relationships/revisionLog" Target="revisionLog16.xml"/><Relationship Id="rId71" Type="http://schemas.openxmlformats.org/officeDocument/2006/relationships/revisionLog" Target="revisionLog31.xml"/><Relationship Id="rId92" Type="http://schemas.openxmlformats.org/officeDocument/2006/relationships/revisionLog" Target="revisionLog52.xml"/><Relationship Id="rId107" Type="http://schemas.openxmlformats.org/officeDocument/2006/relationships/revisionLog" Target="revisionLog122.xml"/><Relationship Id="rId37" Type="http://schemas.openxmlformats.org/officeDocument/2006/relationships/revisionLog" Target="revisionLog4.xml"/><Relationship Id="rId40" Type="http://schemas.openxmlformats.org/officeDocument/2006/relationships/revisionLog" Target="revisionLog5.xml"/><Relationship Id="rId45" Type="http://schemas.openxmlformats.org/officeDocument/2006/relationships/revisionLog" Target="revisionLog10.xml"/><Relationship Id="rId53" Type="http://schemas.openxmlformats.org/officeDocument/2006/relationships/revisionLog" Target="revisionLog17.xml"/><Relationship Id="rId58" Type="http://schemas.openxmlformats.org/officeDocument/2006/relationships/revisionLog" Target="revisionLog20.xml"/><Relationship Id="rId66" Type="http://schemas.openxmlformats.org/officeDocument/2006/relationships/revisionLog" Target="revisionLog28.xml"/><Relationship Id="rId74" Type="http://schemas.openxmlformats.org/officeDocument/2006/relationships/revisionLog" Target="revisionLog34.xml"/><Relationship Id="rId79" Type="http://schemas.openxmlformats.org/officeDocument/2006/relationships/revisionLog" Target="revisionLog39.xml"/><Relationship Id="rId87" Type="http://schemas.openxmlformats.org/officeDocument/2006/relationships/revisionLog" Target="revisionLog47.xml"/><Relationship Id="rId102" Type="http://schemas.openxmlformats.org/officeDocument/2006/relationships/revisionLog" Target="revisionLog61.xml"/><Relationship Id="rId110" Type="http://schemas.openxmlformats.org/officeDocument/2006/relationships/revisionLog" Target="revisionLog65.xml"/><Relationship Id="rId115" Type="http://schemas.openxmlformats.org/officeDocument/2006/relationships/revisionLog" Target="revisionLog69.xml"/><Relationship Id="rId123" Type="http://schemas.openxmlformats.org/officeDocument/2006/relationships/revisionLog" Target="revisionLog77.xml"/><Relationship Id="rId128" Type="http://schemas.openxmlformats.org/officeDocument/2006/relationships/revisionLog" Target="revisionLog81.xml"/><Relationship Id="rId131" Type="http://schemas.openxmlformats.org/officeDocument/2006/relationships/revisionLog" Target="revisionLog83.xml"/><Relationship Id="rId61" Type="http://schemas.openxmlformats.org/officeDocument/2006/relationships/revisionLog" Target="revisionLog23.xml"/><Relationship Id="rId82" Type="http://schemas.openxmlformats.org/officeDocument/2006/relationships/revisionLog" Target="revisionLog42.xml"/><Relationship Id="rId90" Type="http://schemas.openxmlformats.org/officeDocument/2006/relationships/revisionLog" Target="revisionLog50.xml"/><Relationship Id="rId95" Type="http://schemas.openxmlformats.org/officeDocument/2006/relationships/revisionLog" Target="revisionLog55.xml"/><Relationship Id="rId35" Type="http://schemas.openxmlformats.org/officeDocument/2006/relationships/revisionLog" Target="revisionLog2.xml"/><Relationship Id="rId43" Type="http://schemas.openxmlformats.org/officeDocument/2006/relationships/revisionLog" Target="revisionLog8.xml"/><Relationship Id="rId48" Type="http://schemas.openxmlformats.org/officeDocument/2006/relationships/revisionLog" Target="revisionLog1511.xml"/><Relationship Id="rId56" Type="http://schemas.openxmlformats.org/officeDocument/2006/relationships/revisionLog" Target="revisionLog19.xml"/><Relationship Id="rId64" Type="http://schemas.openxmlformats.org/officeDocument/2006/relationships/revisionLog" Target="revisionLog26.xml"/><Relationship Id="rId69" Type="http://schemas.openxmlformats.org/officeDocument/2006/relationships/revisionLog" Target="revisionLog1221.xml"/><Relationship Id="rId77" Type="http://schemas.openxmlformats.org/officeDocument/2006/relationships/revisionLog" Target="revisionLog37.xml"/><Relationship Id="rId100" Type="http://schemas.openxmlformats.org/officeDocument/2006/relationships/revisionLog" Target="revisionLog59.xml"/><Relationship Id="rId105" Type="http://schemas.openxmlformats.org/officeDocument/2006/relationships/revisionLog" Target="revisionLog64.xml"/><Relationship Id="rId113" Type="http://schemas.openxmlformats.org/officeDocument/2006/relationships/revisionLog" Target="revisionLog161.xml"/><Relationship Id="rId118" Type="http://schemas.openxmlformats.org/officeDocument/2006/relationships/revisionLog" Target="revisionLog72.xml"/><Relationship Id="rId126" Type="http://schemas.openxmlformats.org/officeDocument/2006/relationships/revisionLog" Target="revisionLog79.xml"/><Relationship Id="rId51" Type="http://schemas.openxmlformats.org/officeDocument/2006/relationships/revisionLog" Target="revisionLog12211.xml"/><Relationship Id="rId72" Type="http://schemas.openxmlformats.org/officeDocument/2006/relationships/revisionLog" Target="revisionLog32.xml"/><Relationship Id="rId80" Type="http://schemas.openxmlformats.org/officeDocument/2006/relationships/revisionLog" Target="revisionLog40.xml"/><Relationship Id="rId85" Type="http://schemas.openxmlformats.org/officeDocument/2006/relationships/revisionLog" Target="revisionLog45.xml"/><Relationship Id="rId93" Type="http://schemas.openxmlformats.org/officeDocument/2006/relationships/revisionLog" Target="revisionLog53.xml"/><Relationship Id="rId98" Type="http://schemas.openxmlformats.org/officeDocument/2006/relationships/revisionLog" Target="revisionLog18.xml"/><Relationship Id="rId121" Type="http://schemas.openxmlformats.org/officeDocument/2006/relationships/revisionLog" Target="revisionLog75.xml"/><Relationship Id="rId38" Type="http://schemas.openxmlformats.org/officeDocument/2006/relationships/revisionLog" Target="revisionLog1211.xml"/><Relationship Id="rId46" Type="http://schemas.openxmlformats.org/officeDocument/2006/relationships/revisionLog" Target="revisionLog131.xml"/><Relationship Id="rId59" Type="http://schemas.openxmlformats.org/officeDocument/2006/relationships/revisionLog" Target="revisionLog21.xml"/><Relationship Id="rId67" Type="http://schemas.openxmlformats.org/officeDocument/2006/relationships/revisionLog" Target="revisionLog29.xml"/><Relationship Id="rId103" Type="http://schemas.openxmlformats.org/officeDocument/2006/relationships/revisionLog" Target="revisionLog62.xml"/><Relationship Id="rId108" Type="http://schemas.openxmlformats.org/officeDocument/2006/relationships/revisionLog" Target="revisionLog110.xml"/><Relationship Id="rId116" Type="http://schemas.openxmlformats.org/officeDocument/2006/relationships/revisionLog" Target="revisionLog70.xml"/><Relationship Id="rId124" Type="http://schemas.openxmlformats.org/officeDocument/2006/relationships/revisionLog" Target="revisionLog78.xml"/><Relationship Id="rId129" Type="http://schemas.openxmlformats.org/officeDocument/2006/relationships/revisionLog" Target="revisionLog1.xml"/><Relationship Id="rId41" Type="http://schemas.openxmlformats.org/officeDocument/2006/relationships/revisionLog" Target="revisionLog6.xml"/><Relationship Id="rId54" Type="http://schemas.openxmlformats.org/officeDocument/2006/relationships/revisionLog" Target="revisionLog181.xml"/><Relationship Id="rId62" Type="http://schemas.openxmlformats.org/officeDocument/2006/relationships/revisionLog" Target="revisionLog24.xml"/><Relationship Id="rId70" Type="http://schemas.openxmlformats.org/officeDocument/2006/relationships/revisionLog" Target="revisionLog30.xml"/><Relationship Id="rId75" Type="http://schemas.openxmlformats.org/officeDocument/2006/relationships/revisionLog" Target="revisionLog35.xml"/><Relationship Id="rId83" Type="http://schemas.openxmlformats.org/officeDocument/2006/relationships/revisionLog" Target="revisionLog43.xml"/><Relationship Id="rId88" Type="http://schemas.openxmlformats.org/officeDocument/2006/relationships/revisionLog" Target="revisionLog48.xml"/><Relationship Id="rId91" Type="http://schemas.openxmlformats.org/officeDocument/2006/relationships/revisionLog" Target="revisionLog51.xml"/><Relationship Id="rId96" Type="http://schemas.openxmlformats.org/officeDocument/2006/relationships/revisionLog" Target="revisionLog56.xml"/><Relationship Id="rId111" Type="http://schemas.openxmlformats.org/officeDocument/2006/relationships/revisionLog" Target="revisionLog66.xml"/><Relationship Id="rId132" Type="http://schemas.openxmlformats.org/officeDocument/2006/relationships/revisionLog" Target="revisionLog84.xml"/><Relationship Id="rId36" Type="http://schemas.openxmlformats.org/officeDocument/2006/relationships/revisionLog" Target="revisionLog3.xml"/><Relationship Id="rId49" Type="http://schemas.openxmlformats.org/officeDocument/2006/relationships/revisionLog" Target="revisionLog151.xml"/><Relationship Id="rId57" Type="http://schemas.openxmlformats.org/officeDocument/2006/relationships/revisionLog" Target="revisionLog1611.xml"/><Relationship Id="rId106" Type="http://schemas.openxmlformats.org/officeDocument/2006/relationships/revisionLog" Target="revisionLog1222.xml"/><Relationship Id="rId114" Type="http://schemas.openxmlformats.org/officeDocument/2006/relationships/revisionLog" Target="revisionLog68.xml"/><Relationship Id="rId119" Type="http://schemas.openxmlformats.org/officeDocument/2006/relationships/revisionLog" Target="revisionLog73.xml"/><Relationship Id="rId127" Type="http://schemas.openxmlformats.org/officeDocument/2006/relationships/revisionLog" Target="revisionLog80.xml"/><Relationship Id="rId44" Type="http://schemas.openxmlformats.org/officeDocument/2006/relationships/revisionLog" Target="revisionLog9.xml"/><Relationship Id="rId52" Type="http://schemas.openxmlformats.org/officeDocument/2006/relationships/revisionLog" Target="revisionLog16111.xml"/><Relationship Id="rId60" Type="http://schemas.openxmlformats.org/officeDocument/2006/relationships/revisionLog" Target="revisionLog22.xml"/><Relationship Id="rId65" Type="http://schemas.openxmlformats.org/officeDocument/2006/relationships/revisionLog" Target="revisionLog27.xml"/><Relationship Id="rId73" Type="http://schemas.openxmlformats.org/officeDocument/2006/relationships/revisionLog" Target="revisionLog33.xml"/><Relationship Id="rId78" Type="http://schemas.openxmlformats.org/officeDocument/2006/relationships/revisionLog" Target="revisionLog38.xml"/><Relationship Id="rId81" Type="http://schemas.openxmlformats.org/officeDocument/2006/relationships/revisionLog" Target="revisionLog41.xml"/><Relationship Id="rId86" Type="http://schemas.openxmlformats.org/officeDocument/2006/relationships/revisionLog" Target="revisionLog46.xml"/><Relationship Id="rId94" Type="http://schemas.openxmlformats.org/officeDocument/2006/relationships/revisionLog" Target="revisionLog54.xml"/><Relationship Id="rId99" Type="http://schemas.openxmlformats.org/officeDocument/2006/relationships/revisionLog" Target="revisionLog58.xml"/><Relationship Id="rId101" Type="http://schemas.openxmlformats.org/officeDocument/2006/relationships/revisionLog" Target="revisionLog60.xml"/><Relationship Id="rId122" Type="http://schemas.openxmlformats.org/officeDocument/2006/relationships/revisionLog" Target="revisionLog76.xml"/><Relationship Id="rId130" Type="http://schemas.openxmlformats.org/officeDocument/2006/relationships/revisionLog" Target="revisionLog82.xml"/><Relationship Id="rId39" Type="http://schemas.openxmlformats.org/officeDocument/2006/relationships/revisionLog" Target="revisionLog11.xml"/><Relationship Id="rId109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AF598F0-4893-4855-A813-90E04BD4A828}" diskRevisions="1" revisionId="2080" version="132">
  <header guid="{6176C91F-7D48-4DB8-AC83-E8A150EF49AD}" dateTime="2022-01-12T16:23:44" maxSheetId="2" userName="User" r:id="rId34" minRId="445">
    <sheetIdMap count="1">
      <sheetId val="1"/>
    </sheetIdMap>
  </header>
  <header guid="{17ABDBDD-70C3-46F7-B5D9-AF182A731C37}" dateTime="2022-03-31T11:37:01" maxSheetId="2" userName="Пользователь" r:id="rId35" minRId="449" maxRId="458">
    <sheetIdMap count="1">
      <sheetId val="1"/>
    </sheetIdMap>
  </header>
  <header guid="{9382257D-8E40-41FD-9CCB-546C3A325F87}" dateTime="2022-03-31T11:44:49" maxSheetId="2" userName="Пользователь" r:id="rId36" minRId="459" maxRId="467">
    <sheetIdMap count="1">
      <sheetId val="1"/>
    </sheetIdMap>
  </header>
  <header guid="{49E59F35-9ED4-4786-9492-B06BC8195F68}" dateTime="2022-03-31T11:47:43" maxSheetId="2" userName="Пользователь" r:id="rId37" minRId="468" maxRId="473">
    <sheetIdMap count="1">
      <sheetId val="1"/>
    </sheetIdMap>
  </header>
  <header guid="{FA5A71D5-E922-41B8-A639-7C9578BE3253}" dateTime="2022-04-13T11:07:43" maxSheetId="2" userName="Ольга Владимировна" r:id="rId38" minRId="474" maxRId="478">
    <sheetIdMap count="1">
      <sheetId val="1"/>
    </sheetIdMap>
  </header>
  <header guid="{4C1DE019-CF46-4CC5-B3E3-B4788E502B45}" dateTime="2022-04-13T17:20:19" maxSheetId="2" userName="Ольга Владимировна" r:id="rId39">
    <sheetIdMap count="1">
      <sheetId val="1"/>
    </sheetIdMap>
  </header>
  <header guid="{2CD528C3-329A-4059-B581-DD6059700697}" dateTime="2022-04-26T16:05:49" maxSheetId="2" userName="Пользователь" r:id="rId40" minRId="485" maxRId="488">
    <sheetIdMap count="1">
      <sheetId val="1"/>
    </sheetIdMap>
  </header>
  <header guid="{15FCD546-A302-40EA-8AFC-77AD4F8927F4}" dateTime="2022-04-26T16:06:21" maxSheetId="2" userName="Пользователь" r:id="rId41">
    <sheetIdMap count="1">
      <sheetId val="1"/>
    </sheetIdMap>
  </header>
  <header guid="{57134CC9-12BD-4859-984F-831B71E1E24A}" dateTime="2022-04-27T13:28:35" maxSheetId="2" userName="Пользователь" r:id="rId42" minRId="492" maxRId="495">
    <sheetIdMap count="1">
      <sheetId val="1"/>
    </sheetIdMap>
  </header>
  <header guid="{9C207E98-1C51-4B82-981D-0765B2F0237D}" dateTime="2022-04-27T14:23:23" maxSheetId="2" userName="Пользователь" r:id="rId43" minRId="499" maxRId="500">
    <sheetIdMap count="1">
      <sheetId val="1"/>
    </sheetIdMap>
  </header>
  <header guid="{D35391DD-9222-43F0-8E0E-A49CEBBD5359}" dateTime="2022-04-27T15:26:02" maxSheetId="2" userName="Пользователь" r:id="rId44" minRId="504">
    <sheetIdMap count="1">
      <sheetId val="1"/>
    </sheetIdMap>
  </header>
  <header guid="{D36E3984-CA70-41CD-8DD9-D8BF6D28BF2E}" dateTime="2022-04-28T10:42:06" maxSheetId="2" userName="User" r:id="rId45" minRId="508">
    <sheetIdMap count="1">
      <sheetId val="1"/>
    </sheetIdMap>
  </header>
  <header guid="{8EB493AB-191C-4837-8122-4BF893667EAB}" dateTime="2022-06-08T11:21:50" maxSheetId="2" userName="Пользователь" r:id="rId46" minRId="512">
    <sheetIdMap count="1">
      <sheetId val="1"/>
    </sheetIdMap>
  </header>
  <header guid="{4E82D982-377F-4F34-9109-6E7937CAA7A8}" dateTime="2022-07-18T13:10:03" maxSheetId="2" userName="Пользователь" r:id="rId47" minRId="516" maxRId="534">
    <sheetIdMap count="1">
      <sheetId val="1"/>
    </sheetIdMap>
  </header>
  <header guid="{0A398CFA-317B-48DD-8148-D56A6B8AB8A8}" dateTime="2022-07-18T13:43:37" maxSheetId="2" userName="Пользователь" r:id="rId48" minRId="538">
    <sheetIdMap count="1">
      <sheetId val="1"/>
    </sheetIdMap>
  </header>
  <header guid="{3B1457BB-01A3-4832-A123-DE3C0A3682F7}" dateTime="2022-07-18T15:08:11" maxSheetId="2" userName="Ольга Владимировна" r:id="rId49" minRId="542" maxRId="543">
    <sheetIdMap count="1">
      <sheetId val="1"/>
    </sheetIdMap>
  </header>
  <header guid="{605E8E67-5DC7-437C-B866-EE2B14237DB2}" dateTime="2022-07-18T15:15:24" maxSheetId="2" userName="Ольга Владимировна" r:id="rId50">
    <sheetIdMap count="1">
      <sheetId val="1"/>
    </sheetIdMap>
  </header>
  <header guid="{7876C466-8ECC-4810-88EB-E687E582E512}" dateTime="2022-07-25T15:50:50" maxSheetId="2" userName="Ольга Владимировна" r:id="rId51" minRId="550">
    <sheetIdMap count="1">
      <sheetId val="1"/>
    </sheetIdMap>
  </header>
  <header guid="{3DA5A0B9-1875-449D-8C3B-34DF65975C6E}" dateTime="2022-10-20T14:04:57" maxSheetId="2" userName="Пользователь" r:id="rId52" minRId="554">
    <sheetIdMap count="1">
      <sheetId val="1"/>
    </sheetIdMap>
  </header>
  <header guid="{731874B1-3852-479C-9EE7-6F08320EFC40}" dateTime="2022-10-20T14:23:18" maxSheetId="2" userName="Пользователь" r:id="rId53" minRId="558" maxRId="561">
    <sheetIdMap count="1">
      <sheetId val="1"/>
    </sheetIdMap>
  </header>
  <header guid="{DEAD2DEC-9445-4C14-9298-10CD5FE78A34}" dateTime="2022-10-20T14:29:54" maxSheetId="2" userName="Пользователь" r:id="rId54" minRId="562">
    <sheetIdMap count="1">
      <sheetId val="1"/>
    </sheetIdMap>
  </header>
  <header guid="{6D6ED1B7-9602-4014-ADC4-DB45E6ED004C}" dateTime="2022-10-21T11:43:25" maxSheetId="2" userName="Ольга Владимировна" r:id="rId55" minRId="563" maxRId="564">
    <sheetIdMap count="1">
      <sheetId val="1"/>
    </sheetIdMap>
  </header>
  <header guid="{5C30EBE9-809A-4F98-9468-5B24ACA4B4CC}" dateTime="2022-10-21T14:12:49" maxSheetId="2" userName="Ольга Владимировна" r:id="rId56">
    <sheetIdMap count="1">
      <sheetId val="1"/>
    </sheetIdMap>
  </header>
  <header guid="{A5C4C69E-BC8E-414B-BE7E-DCE5F6EAFB28}" dateTime="2022-11-10T14:53:54" maxSheetId="2" userName="User" r:id="rId57" minRId="571">
    <sheetIdMap count="1">
      <sheetId val="1"/>
    </sheetIdMap>
  </header>
  <header guid="{EC226FCE-4D47-4623-893F-4F94BF86CAB9}" dateTime="2022-11-11T15:47:57" maxSheetId="2" userName="Пользователь" r:id="rId58" minRId="575" maxRId="770">
    <sheetIdMap count="1">
      <sheetId val="1"/>
    </sheetIdMap>
  </header>
  <header guid="{2E30DCDD-68F9-4AE2-9578-498B8557D094}" dateTime="2022-11-11T16:52:57" maxSheetId="2" userName="Пользователь" r:id="rId59" minRId="771" maxRId="876">
    <sheetIdMap count="1">
      <sheetId val="1"/>
    </sheetIdMap>
  </header>
  <header guid="{6545887F-F03C-442C-A27F-95B54A467259}" dateTime="2022-11-11T17:07:52" maxSheetId="2" userName="Пользователь" r:id="rId60" minRId="877" maxRId="901">
    <sheetIdMap count="1">
      <sheetId val="1"/>
    </sheetIdMap>
  </header>
  <header guid="{B70EA854-78BC-4B04-BBE2-5D369270D1D5}" dateTime="2022-11-11T17:09:11" maxSheetId="2" userName="Пользователь" r:id="rId61" minRId="905">
    <sheetIdMap count="1">
      <sheetId val="1"/>
    </sheetIdMap>
  </header>
  <header guid="{8AFAAA1D-5E14-4D32-A437-CD73D09A0C53}" dateTime="2022-11-12T17:22:31" maxSheetId="2" userName="Пользователь" r:id="rId62" minRId="906" maxRId="909">
    <sheetIdMap count="1">
      <sheetId val="1"/>
    </sheetIdMap>
  </header>
  <header guid="{3AB03DFA-791E-4C8A-B245-A822C22DE1B3}" dateTime="2022-11-12T17:36:05" maxSheetId="2" userName="Пользователь" r:id="rId63" minRId="910" maxRId="1073">
    <sheetIdMap count="1">
      <sheetId val="1"/>
    </sheetIdMap>
  </header>
  <header guid="{4B33A0C7-A47F-4E66-9712-57DA7D01E93D}" dateTime="2022-11-12T17:39:56" maxSheetId="2" userName="Пользователь" r:id="rId64" minRId="1074" maxRId="1105">
    <sheetIdMap count="1">
      <sheetId val="1"/>
    </sheetIdMap>
  </header>
  <header guid="{7BB1EE65-EE9E-424A-997C-509E08B2519B}" dateTime="2022-11-12T17:40:08" maxSheetId="2" userName="Пользователь" r:id="rId65">
    <sheetIdMap count="1">
      <sheetId val="1"/>
    </sheetIdMap>
  </header>
  <header guid="{E7CDFC50-D3A9-48AC-B365-63609BE37468}" dateTime="2022-11-14T16:11:04" maxSheetId="2" userName="Пользователь" r:id="rId66">
    <sheetIdMap count="1">
      <sheetId val="1"/>
    </sheetIdMap>
  </header>
  <header guid="{11A8F475-37BB-4A41-A402-B449C413D8B5}" dateTime="2022-11-15T08:08:46" maxSheetId="2" userName="Пользователь" r:id="rId67" minRId="1110" maxRId="1112">
    <sheetIdMap count="1">
      <sheetId val="1"/>
    </sheetIdMap>
  </header>
  <header guid="{A7E64D16-3F44-4200-A955-DC6BF8F13CD0}" dateTime="2022-11-15T09:01:36" maxSheetId="2" userName="Ольга Владимировна" r:id="rId68" minRId="1115" maxRId="1124">
    <sheetIdMap count="1">
      <sheetId val="1"/>
    </sheetIdMap>
  </header>
  <header guid="{C882B6E1-880B-4CB0-99A6-9A51B63B32C8}" dateTime="2022-11-15T09:16:02" maxSheetId="2" userName="Ольга Владимировна" r:id="rId69" minRId="1125" maxRId="1126">
    <sheetIdMap count="1">
      <sheetId val="1"/>
    </sheetIdMap>
  </header>
  <header guid="{2DE43B81-8237-457F-B73F-63075C6F9682}" dateTime="2022-12-16T11:07:40" maxSheetId="2" userName="Пользователь" r:id="rId70" minRId="1127" maxRId="1151">
    <sheetIdMap count="1">
      <sheetId val="1"/>
    </sheetIdMap>
  </header>
  <header guid="{21679DEF-E454-4CA0-ADB6-9D43C8A95A8F}" dateTime="2022-12-16T11:13:37" maxSheetId="2" userName="Пользователь" r:id="rId71" minRId="1152" maxRId="1168">
    <sheetIdMap count="1">
      <sheetId val="1"/>
    </sheetIdMap>
  </header>
  <header guid="{97FF7173-7C2E-4068-A656-ACB856848C96}" dateTime="2022-12-16T11:15:59" maxSheetId="2" userName="Пользователь" r:id="rId72" minRId="1169" maxRId="1187">
    <sheetIdMap count="1">
      <sheetId val="1"/>
    </sheetIdMap>
  </header>
  <header guid="{29B83078-3025-4B32-8418-2702E48D586C}" dateTime="2022-12-16T11:16:25" maxSheetId="2" userName="Пользователь" r:id="rId73" minRId="1188">
    <sheetIdMap count="1">
      <sheetId val="1"/>
    </sheetIdMap>
  </header>
  <header guid="{3A593BBC-EB06-4CF0-8A19-E552BDFAB4AE}" dateTime="2022-12-16T11:17:53" maxSheetId="2" userName="Пользователь" r:id="rId74" minRId="1189" maxRId="1207">
    <sheetIdMap count="1">
      <sheetId val="1"/>
    </sheetIdMap>
  </header>
  <header guid="{E02A7365-374A-43F3-8E85-72538C12E8C2}" dateTime="2022-12-16T13:24:20" maxSheetId="2" userName="Пользователь" r:id="rId75" minRId="1208" maxRId="1219">
    <sheetIdMap count="1">
      <sheetId val="1"/>
    </sheetIdMap>
  </header>
  <header guid="{AFFA8E06-5B73-4A2D-8A7D-071987E23BAC}" dateTime="2022-12-16T13:31:07" maxSheetId="2" userName="Пользователь" r:id="rId76" minRId="1222" maxRId="1229">
    <sheetIdMap count="1">
      <sheetId val="1"/>
    </sheetIdMap>
  </header>
  <header guid="{2FF485E8-B384-4F97-8F92-5E91683CD27B}" dateTime="2022-12-16T13:38:06" maxSheetId="2" userName="Пользователь" r:id="rId77" minRId="1230" maxRId="1239">
    <sheetIdMap count="1">
      <sheetId val="1"/>
    </sheetIdMap>
  </header>
  <header guid="{252290E3-FFCD-4FBB-B83F-AEB3D6775DC2}" dateTime="2022-12-19T15:59:03" maxSheetId="2" userName="Пользователь" r:id="rId78" minRId="1240" maxRId="1252">
    <sheetIdMap count="1">
      <sheetId val="1"/>
    </sheetIdMap>
  </header>
  <header guid="{602D42A7-0784-41CB-9DAB-D5C0BC737F5E}" dateTime="2022-12-19T16:18:14" maxSheetId="2" userName="Пользователь" r:id="rId79" minRId="1253" maxRId="1269">
    <sheetIdMap count="1">
      <sheetId val="1"/>
    </sheetIdMap>
  </header>
  <header guid="{B419F0FD-4AD1-4538-800E-FED0F0D016DA}" dateTime="2022-12-19T16:20:35" maxSheetId="2" userName="Пользователь" r:id="rId80" minRId="1270" maxRId="1288">
    <sheetIdMap count="1">
      <sheetId val="1"/>
    </sheetIdMap>
  </header>
  <header guid="{85A90FF9-D25B-4F0C-9F59-D290AC336EB7}" dateTime="2022-12-19T16:21:52" maxSheetId="2" userName="Пользователь" r:id="rId81" minRId="1289" maxRId="1316">
    <sheetIdMap count="1">
      <sheetId val="1"/>
    </sheetIdMap>
  </header>
  <header guid="{ABCD1684-1419-4990-96BE-2E9CC0A04B4D}" dateTime="2022-12-19T16:35:47" maxSheetId="2" userName="Пользователь" r:id="rId82" minRId="1317" maxRId="1345">
    <sheetIdMap count="1">
      <sheetId val="1"/>
    </sheetIdMap>
  </header>
  <header guid="{605484E8-46A7-47B1-938A-CD5DD83A7400}" dateTime="2022-12-19T16:47:15" maxSheetId="2" userName="Пользователь" r:id="rId83" minRId="1346" maxRId="1349">
    <sheetIdMap count="1">
      <sheetId val="1"/>
    </sheetIdMap>
  </header>
  <header guid="{DE348B8C-C899-475F-A204-05CA223829CF}" dateTime="2022-12-19T17:44:01" maxSheetId="2" userName="Пользователь" r:id="rId84" minRId="1352" maxRId="1373">
    <sheetIdMap count="1">
      <sheetId val="1"/>
    </sheetIdMap>
  </header>
  <header guid="{B96F0554-75B7-4822-9E0B-6D1F4333AE44}" dateTime="2022-12-19T18:00:19" maxSheetId="2" userName="Пользователь" r:id="rId85" minRId="1374" maxRId="1389">
    <sheetIdMap count="1">
      <sheetId val="1"/>
    </sheetIdMap>
  </header>
  <header guid="{308B5368-B81D-4328-A10B-DC7467238CAB}" dateTime="2022-12-20T14:43:12" maxSheetId="2" userName="Пользователь" r:id="rId86" minRId="1392" maxRId="1397">
    <sheetIdMap count="1">
      <sheetId val="1"/>
    </sheetIdMap>
  </header>
  <header guid="{AB503CAD-EB47-4388-9779-4EAE87446828}" dateTime="2022-12-20T14:45:31" maxSheetId="2" userName="Пользователь" r:id="rId87" minRId="1400" maxRId="1401">
    <sheetIdMap count="1">
      <sheetId val="1"/>
    </sheetIdMap>
  </header>
  <header guid="{028027F1-F800-4E65-834D-3B259BFC2F18}" dateTime="2023-01-09T10:44:41" maxSheetId="2" userName="Пользователь" r:id="rId88" minRId="1402" maxRId="1414">
    <sheetIdMap count="1">
      <sheetId val="1"/>
    </sheetIdMap>
  </header>
  <header guid="{6180A690-0364-4C9B-95A9-382B1B959018}" dateTime="2023-01-09T11:13:44" maxSheetId="2" userName="Пользователь" r:id="rId89" minRId="1415" maxRId="1417">
    <sheetIdMap count="1">
      <sheetId val="1"/>
    </sheetIdMap>
  </header>
  <header guid="{B039692D-D86A-4B8E-9C4A-AA7E8308B409}" dateTime="2023-01-09T11:25:17" maxSheetId="2" userName="Пользователь" r:id="rId90" minRId="1418" maxRId="1425">
    <sheetIdMap count="1">
      <sheetId val="1"/>
    </sheetIdMap>
  </header>
  <header guid="{E689BEC0-17E7-4DE1-A8E6-F191E91AA661}" dateTime="2023-01-09T11:50:30" maxSheetId="2" userName="Пользователь" r:id="rId91" minRId="1426" maxRId="1429">
    <sheetIdMap count="1">
      <sheetId val="1"/>
    </sheetIdMap>
  </header>
  <header guid="{35BE0DF4-8D80-421A-B8CC-32E704AAD55D}" dateTime="2023-01-09T11:58:33" maxSheetId="2" userName="Пользователь" r:id="rId92" minRId="1430" maxRId="1431">
    <sheetIdMap count="1">
      <sheetId val="1"/>
    </sheetIdMap>
  </header>
  <header guid="{C0E98557-A114-4DE9-9F36-1FA41AFF45C0}" dateTime="2023-01-09T13:10:15" maxSheetId="2" userName="Пользователь" r:id="rId93" minRId="1432" maxRId="1433">
    <sheetIdMap count="1">
      <sheetId val="1"/>
    </sheetIdMap>
  </header>
  <header guid="{6C2DD617-B0E6-4DA9-A6B8-F50277BA5953}" dateTime="2023-01-09T13:23:42" maxSheetId="2" userName="Пользователь" r:id="rId94" minRId="1434">
    <sheetIdMap count="1">
      <sheetId val="1"/>
    </sheetIdMap>
  </header>
  <header guid="{4F8F1133-3CCF-4243-8ED6-72D73394A029}" dateTime="2023-01-09T14:35:54" maxSheetId="2" userName="Пользователь" r:id="rId95" minRId="1435" maxRId="1436">
    <sheetIdMap count="1">
      <sheetId val="1"/>
    </sheetIdMap>
  </header>
  <header guid="{4F44C199-5D79-4754-8920-CD1FA4E4F37D}" dateTime="2023-01-09T19:26:47" maxSheetId="2" userName="Пользователь" r:id="rId96" minRId="1437" maxRId="1444">
    <sheetIdMap count="1">
      <sheetId val="1"/>
    </sheetIdMap>
  </header>
  <header guid="{46446BDC-DA74-4585-9376-ADB34CC29D7A}" dateTime="2023-01-09T20:08:34" maxSheetId="2" userName="Пользователь" r:id="rId97" minRId="1447" maxRId="1448">
    <sheetIdMap count="1">
      <sheetId val="1"/>
    </sheetIdMap>
  </header>
  <header guid="{564F236F-1560-4243-BD9D-EB8AC136204B}" dateTime="2023-01-10T10:08:35" maxSheetId="2" userName="User" r:id="rId98" minRId="1449">
    <sheetIdMap count="1">
      <sheetId val="1"/>
    </sheetIdMap>
  </header>
  <header guid="{F2C9E94F-31AB-41EF-9EEE-6C84FBAFC5DC}" dateTime="2023-01-10T11:14:37" maxSheetId="2" userName="Пользователь" r:id="rId99" minRId="1450" maxRId="1451">
    <sheetIdMap count="1">
      <sheetId val="1"/>
    </sheetIdMap>
  </header>
  <header guid="{87E9045C-A6DF-4312-942F-1B02B57954F0}" dateTime="2023-01-10T11:24:42" maxSheetId="2" userName="Пользователь" r:id="rId100" minRId="1452" maxRId="1456">
    <sheetIdMap count="1">
      <sheetId val="1"/>
    </sheetIdMap>
  </header>
  <header guid="{63A7282A-C18E-4EEF-89C9-6740052860FE}" dateTime="2023-01-10T11:26:27" maxSheetId="2" userName="Пользователь" r:id="rId101" minRId="1457" maxRId="1458">
    <sheetIdMap count="1">
      <sheetId val="1"/>
    </sheetIdMap>
  </header>
  <header guid="{F0177F2B-3701-454B-A96D-29C1122B6A08}" dateTime="2023-01-25T17:54:49" maxSheetId="2" userName="Пользователь" r:id="rId102" minRId="1459">
    <sheetIdMap count="1">
      <sheetId val="1"/>
    </sheetIdMap>
  </header>
  <header guid="{480EE208-35AC-4953-A735-A73B9F6699CD}" dateTime="2023-01-25T18:14:18" maxSheetId="2" userName="Пользователь" r:id="rId103" minRId="1460" maxRId="1602">
    <sheetIdMap count="1">
      <sheetId val="1"/>
    </sheetIdMap>
  </header>
  <header guid="{91D2FB9F-729C-4A4F-856E-AC0F9A3EC8FB}" dateTime="2023-01-25T18:25:08" maxSheetId="2" userName="Пользователь" r:id="rId104" minRId="1603" maxRId="1604">
    <sheetIdMap count="1">
      <sheetId val="1"/>
    </sheetIdMap>
  </header>
  <header guid="{EF1FD7B4-3EC1-46F3-BAD5-3585F5EFB7A5}" dateTime="2023-01-26T14:12:40" maxSheetId="2" userName="Пользователь" r:id="rId105" minRId="1605" maxRId="1710">
    <sheetIdMap count="1">
      <sheetId val="1"/>
    </sheetIdMap>
  </header>
  <header guid="{9AFCD7C3-C2FD-4122-8E6E-E3BB64096C8F}" dateTime="2023-01-26T15:45:18" maxSheetId="2" userName="Ольга Владимировна" r:id="rId106" minRId="1713" maxRId="1716">
    <sheetIdMap count="1">
      <sheetId val="1"/>
    </sheetIdMap>
  </header>
  <header guid="{FFDC343B-E2CD-4A5C-BA77-47C5C3D561E0}" dateTime="2023-01-26T16:14:00" maxSheetId="2" userName="User" r:id="rId107" minRId="1720">
    <sheetIdMap count="1">
      <sheetId val="1"/>
    </sheetIdMap>
  </header>
  <header guid="{7B7A027C-A4EA-41A6-A083-B012D67DFCEB}" dateTime="2023-01-26T16:45:35" maxSheetId="2" userName="User" r:id="rId108" minRId="1724">
    <sheetIdMap count="1">
      <sheetId val="1"/>
    </sheetIdMap>
  </header>
  <header guid="{AA83AB00-D698-43FE-9A0F-13704690174B}" dateTime="2023-01-30T10:03:00" maxSheetId="2" userName="User" r:id="rId109" minRId="1725">
    <sheetIdMap count="1">
      <sheetId val="1"/>
    </sheetIdMap>
  </header>
  <header guid="{9477D155-E220-4498-B762-C2794F0CBD30}" dateTime="2023-02-15T18:07:51" maxSheetId="2" userName="Use_222-3" r:id="rId110">
    <sheetIdMap count="1">
      <sheetId val="1"/>
    </sheetIdMap>
  </header>
  <header guid="{63DA60B2-3B85-4450-AA3E-29104610063E}" dateTime="2023-03-14T15:08:57" maxSheetId="2" userName="Пользователь" r:id="rId111" minRId="1729" maxRId="1791">
    <sheetIdMap count="1">
      <sheetId val="1"/>
    </sheetIdMap>
  </header>
  <header guid="{851AF735-A704-43BD-BE33-3AAAA5F5C80A}" dateTime="2023-03-14T15:23:42" maxSheetId="2" userName="Пользователь" r:id="rId112" minRId="1792" maxRId="1874">
    <sheetIdMap count="1">
      <sheetId val="1"/>
    </sheetIdMap>
  </header>
  <header guid="{22BBCB81-FD2D-4C94-90F1-97E07D7EABBF}" dateTime="2023-03-14T15:51:40" maxSheetId="2" userName="Ольга Владимировна" r:id="rId113" minRId="1875" maxRId="1876">
    <sheetIdMap count="1">
      <sheetId val="1"/>
    </sheetIdMap>
  </header>
  <header guid="{46AD8283-4691-4471-BB13-744E1FF079CF}" dateTime="2023-03-24T10:00:30" maxSheetId="2" userName="Пользователь" r:id="rId114" minRId="1877">
    <sheetIdMap count="1">
      <sheetId val="1"/>
    </sheetIdMap>
  </header>
  <header guid="{AA907551-BB8A-49C9-B630-FCF1CEF088A2}" dateTime="2023-06-19T11:28:07" maxSheetId="2" userName="Пользователь" r:id="rId115" minRId="1880" maxRId="1903">
    <sheetIdMap count="1">
      <sheetId val="1"/>
    </sheetIdMap>
  </header>
  <header guid="{CAF71DF9-6CEA-46B4-B15D-250A9082738F}" dateTime="2023-06-19T11:28:45" maxSheetId="2" userName="Пользователь" r:id="rId116" minRId="1904">
    <sheetIdMap count="1">
      <sheetId val="1"/>
    </sheetIdMap>
  </header>
  <header guid="{6EFD81DF-0259-4981-8B19-309EC4EA32A3}" dateTime="2023-06-19T11:56:08" maxSheetId="2" userName="Пользователь" r:id="rId117" minRId="1905" maxRId="1907">
    <sheetIdMap count="1">
      <sheetId val="1"/>
    </sheetIdMap>
  </header>
  <header guid="{554AA486-6E98-4AD2-B7C3-8995CA1D5A55}" dateTime="2023-06-19T13:26:03" maxSheetId="2" userName="Пользователь" r:id="rId118" minRId="1908" maxRId="1912">
    <sheetIdMap count="1">
      <sheetId val="1"/>
    </sheetIdMap>
  </header>
  <header guid="{B11119DD-E33E-4854-A269-CB277B91C27F}" dateTime="2023-06-19T13:42:01" maxSheetId="2" userName="Пользователь" r:id="rId119" minRId="1913" maxRId="1991">
    <sheetIdMap count="1">
      <sheetId val="1"/>
    </sheetIdMap>
  </header>
  <header guid="{82521AA7-946B-4C57-933A-70280F1AFA40}" dateTime="2023-06-19T13:48:31" maxSheetId="2" userName="Пользователь" r:id="rId120" minRId="1994" maxRId="2032">
    <sheetIdMap count="1">
      <sheetId val="1"/>
    </sheetIdMap>
  </header>
  <header guid="{9E241EDF-24AB-4D3F-9482-8180967462A7}" dateTime="2023-06-19T13:56:22" maxSheetId="2" userName="Пользователь" r:id="rId121" minRId="2035" maxRId="2039">
    <sheetIdMap count="1">
      <sheetId val="1"/>
    </sheetIdMap>
  </header>
  <header guid="{5E7D2C70-2EFB-40D7-9B47-A96BD445F4AE}" dateTime="2023-06-19T15:58:27" maxSheetId="2" userName="Пользователь" r:id="rId122" minRId="2040" maxRId="2046">
    <sheetIdMap count="1">
      <sheetId val="1"/>
    </sheetIdMap>
  </header>
  <header guid="{1BFA63F4-811E-42E3-A813-997AD1268FDF}" dateTime="2023-06-19T15:59:25" maxSheetId="2" userName="Пользователь" r:id="rId123" minRId="2047" maxRId="2048">
    <sheetIdMap count="1">
      <sheetId val="1"/>
    </sheetIdMap>
  </header>
  <header guid="{456B76A3-605B-4DB4-A7BA-C8DE85923718}" dateTime="2023-06-19T16:22:31" maxSheetId="2" userName="Пользователь" r:id="rId124" minRId="2049" maxRId="2052">
    <sheetIdMap count="1">
      <sheetId val="1"/>
    </sheetIdMap>
  </header>
  <header guid="{9AC54E49-5F54-4653-9B00-3B8AF41AA845}" dateTime="2023-06-20T09:44:06" maxSheetId="2" userName="Ольга Владимировна" r:id="rId125" minRId="2053">
    <sheetIdMap count="1">
      <sheetId val="1"/>
    </sheetIdMap>
  </header>
  <header guid="{47839052-AD3C-4390-96AF-08EEBFD438B3}" dateTime="2023-06-29T16:58:26" maxSheetId="2" userName="Александр Михайлович" r:id="rId126" minRId="2054">
    <sheetIdMap count="1">
      <sheetId val="1"/>
    </sheetIdMap>
  </header>
  <header guid="{E000DAB5-11AA-4D8E-B123-0E96A309DABF}" dateTime="2023-06-29T17:02:20" maxSheetId="2" userName="Пользователь" r:id="rId127" minRId="2057">
    <sheetIdMap count="1">
      <sheetId val="1"/>
    </sheetIdMap>
  </header>
  <header guid="{D0183EB2-C1DF-4CD7-B64C-C8462C40BE3D}" dateTime="2023-10-05T16:31:53" maxSheetId="2" userName="Пользователь" r:id="rId128" minRId="2058" maxRId="2061">
    <sheetIdMap count="1">
      <sheetId val="1"/>
    </sheetIdMap>
  </header>
  <header guid="{D9F80DA4-5ABA-423B-90EC-83DFF208649B}" dateTime="2023-10-06T08:02:45" maxSheetId="2" userName="Ольга Владимировна" r:id="rId129" minRId="2062">
    <sheetIdMap count="1">
      <sheetId val="1"/>
    </sheetIdMap>
  </header>
  <header guid="{88F739D9-4944-473D-8006-5F8656F2DC3A}" dateTime="2023-10-18T13:59:26" maxSheetId="2" userName="Пользователь" r:id="rId130" minRId="2063" maxRId="2077">
    <sheetIdMap count="1">
      <sheetId val="1"/>
    </sheetIdMap>
  </header>
  <header guid="{DEC522C4-5FEA-4B8D-B628-C6D740122176}" dateTime="2023-10-18T14:00:32" maxSheetId="2" userName="Пользователь" r:id="rId131" minRId="2078" maxRId="2079">
    <sheetIdMap count="1">
      <sheetId val="1"/>
    </sheetIdMap>
  </header>
  <header guid="{CAF598F0-4893-4855-A813-90E04BD4A828}" dateTime="2023-11-10T09:00:41" maxSheetId="2" userName="Пользователь" r:id="rId132" minRId="208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062" sId="1" odxf="1">
    <oc r="H3" t="inlineStr">
      <is>
        <t>от 28 июня 2023  № 269</t>
      </is>
    </oc>
    <nc r="H3" t="inlineStr">
      <is>
        <t>от ________ 2023  № ____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H3" t="inlineStr">
      <is>
        <t>от "___" апреля 2022  № ____</t>
      </is>
    </oc>
    <nc r="H3" t="inlineStr">
      <is>
        <t>от "27" апреля 2022  № 184</t>
      </is>
    </nc>
  </rcc>
  <rcv guid="{C050815F-608D-4696-BF1D-66B69F749BD0}" action="delete"/>
  <rdn rId="0" localSheetId="1" customView="1" name="Z_C050815F_608D_4696_BF1D_66B69F749BD0_.wvu.PrintArea" hidden="1" oldHidden="1">
    <formula>Мун.программы!$A$1:$H$276</formula>
    <oldFormula>Мун.программы!$A$4:$H$276</oldFormula>
  </rdn>
  <rdn rId="0" localSheetId="1" customView="1" name="Z_C050815F_608D_4696_BF1D_66B69F749BD0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C050815F_608D_4696_BF1D_66B69F749BD0_.wvu.FilterData" hidden="1" oldHidden="1">
    <formula>Мун.программы!$A$20:$Q$412</formula>
    <oldFormula>Мун.программы!$A$20:$Q$412</oldFormula>
  </rdn>
  <rcv guid="{C050815F-608D-4696-BF1D-66B69F749BD0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Мун.программы!$A$1:$H$276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724" sId="1" odxf="1">
    <oc r="H3" t="inlineStr">
      <is>
        <t>от 23 января 2023  № 236</t>
      </is>
    </oc>
    <nc r="H3" t="inlineStr">
      <is>
        <t>от 12 января 2023  № 233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445" sId="1">
    <oc r="H8" t="inlineStr">
      <is>
        <t>от "___" декабря 2021 №___</t>
      </is>
    </oc>
    <nc r="H8" t="inlineStr">
      <is>
        <t>от "23" декабря 2021 № 164</t>
      </is>
    </nc>
  </rcc>
  <rdn rId="0" localSheetId="1" customView="1" name="Z_C050815F_608D_4696_BF1D_66B69F749BD0_.wvu.PrintArea" hidden="1" oldHidden="1">
    <formula>Мун.программы!$A$1:$H$273</formula>
  </rdn>
  <rdn rId="0" localSheetId="1" customView="1" name="Z_C050815F_608D_4696_BF1D_66B69F749BD0_.wvu.Rows" hidden="1" oldHidden="1">
    <formula>Мун.программы!$197:$199,Мун.программы!$240:$240,Мун.программы!$245:$247,Мун.программы!$251:$256</formula>
  </rdn>
  <rdn rId="0" localSheetId="1" customView="1" name="Z_C050815F_608D_4696_BF1D_66B69F749BD0_.wvu.FilterData" hidden="1" oldHidden="1">
    <formula>Мун.программы!$A$17:$Q$409</formula>
  </rdn>
  <rcv guid="{C050815F-608D-4696-BF1D-66B69F749BD0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1725" sId="1" odxf="1">
    <oc r="H3" t="inlineStr">
      <is>
        <t>от 12 января 2023  № 233</t>
      </is>
    </oc>
    <nc r="H3" t="inlineStr">
      <is>
        <t>от 26 января 2023  № 236</t>
      </is>
    </nc>
    <odxf/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rc rId="474" sId="1" ref="A1:XFD1" action="insertRow">
    <undo index="6" exp="area" ref3D="1" dr="$A$251:$XFD$256" dn="Z_DD9A8EC0_978F_40DB_8504_69866F97ABC3_.wvu.Rows" sId="1"/>
    <undo index="4" exp="area" ref3D="1" dr="$A$245:$XFD$247" dn="Z_DD9A8EC0_978F_40DB_8504_69866F97ABC3_.wvu.Rows" sId="1"/>
    <undo index="2" exp="area" ref3D="1" dr="$A$240:$XFD$240" dn="Z_DD9A8EC0_978F_40DB_8504_69866F97ABC3_.wvu.Rows" sId="1"/>
    <undo index="1" exp="area" ref3D="1" dr="$A$197:$XFD$199" dn="Z_DD9A8EC0_978F_40DB_8504_69866F97ABC3_.wvu.Rows" sId="1"/>
    <undo index="6" exp="area" ref3D="1" dr="$A$251:$XFD$256" dn="Z_C050815F_608D_4696_BF1D_66B69F749BD0_.wvu.Rows" sId="1"/>
    <undo index="4" exp="area" ref3D="1" dr="$A$245:$XFD$247" dn="Z_C050815F_608D_4696_BF1D_66B69F749BD0_.wvu.Rows" sId="1"/>
    <undo index="2" exp="area" ref3D="1" dr="$A$240:$XFD$240" dn="Z_C050815F_608D_4696_BF1D_66B69F749BD0_.wvu.Rows" sId="1"/>
    <undo index="1" exp="area" ref3D="1" dr="$A$197:$XFD$199" dn="Z_C050815F_608D_4696_BF1D_66B69F749BD0_.wvu.Rows" sId="1"/>
    <undo index="22" exp="area" ref3D="1" dr="$A$251:$XFD$256" dn="Z_63C81512_0323_449A_8D16_969602EE6D8D_.wvu.Rows" sId="1"/>
    <undo index="20" exp="area" ref3D="1" dr="$A$245:$XFD$247" dn="Z_63C81512_0323_449A_8D16_969602EE6D8D_.wvu.Rows" sId="1"/>
    <undo index="18" exp="area" ref3D="1" dr="$A$240:$XFD$240" dn="Z_63C81512_0323_449A_8D16_969602EE6D8D_.wvu.Rows" sId="1"/>
    <undo index="16" exp="area" ref3D="1" dr="$A$224:$XFD$225" dn="Z_63C81512_0323_449A_8D16_969602EE6D8D_.wvu.Rows" sId="1"/>
    <undo index="14" exp="area" ref3D="1" dr="$A$197:$XFD$199" dn="Z_63C81512_0323_449A_8D16_969602EE6D8D_.wvu.Rows" sId="1"/>
    <undo index="12" exp="area" ref3D="1" dr="$A$182:$XFD$183" dn="Z_63C81512_0323_449A_8D16_969602EE6D8D_.wvu.Rows" sId="1"/>
    <undo index="10" exp="area" ref3D="1" dr="$A$143:$XFD$144" dn="Z_63C81512_0323_449A_8D16_969602EE6D8D_.wvu.Rows" sId="1"/>
    <undo index="8" exp="area" ref3D="1" dr="$A$141:$XFD$141" dn="Z_63C81512_0323_449A_8D16_969602EE6D8D_.wvu.Rows" sId="1"/>
    <undo index="6" exp="area" ref3D="1" dr="$A$115:$XFD$116" dn="Z_63C81512_0323_449A_8D16_969602EE6D8D_.wvu.Rows" sId="1"/>
    <undo index="4" exp="area" ref3D="1" dr="$A$113:$XFD$113" dn="Z_63C81512_0323_449A_8D16_969602EE6D8D_.wvu.Rows" sId="1"/>
    <undo index="2" exp="area" ref3D="1" dr="$A$106:$XFD$106" dn="Z_63C81512_0323_449A_8D16_969602EE6D8D_.wvu.Rows" sId="1"/>
    <undo index="1" exp="area" ref3D="1" dr="$A$91:$XFD$95" dn="Z_63C81512_0323_449A_8D16_969602EE6D8D_.wvu.Rows" sId="1"/>
  </rrc>
  <rrc rId="475" sId="1" ref="A1:XFD2" action="insertRow">
    <undo index="6" exp="area" ref3D="1" dr="$A$252:$XFD$257" dn="Z_DD9A8EC0_978F_40DB_8504_69866F97ABC3_.wvu.Rows" sId="1"/>
    <undo index="4" exp="area" ref3D="1" dr="$A$246:$XFD$248" dn="Z_DD9A8EC0_978F_40DB_8504_69866F97ABC3_.wvu.Rows" sId="1"/>
    <undo index="2" exp="area" ref3D="1" dr="$A$241:$XFD$241" dn="Z_DD9A8EC0_978F_40DB_8504_69866F97ABC3_.wvu.Rows" sId="1"/>
    <undo index="1" exp="area" ref3D="1" dr="$A$198:$XFD$200" dn="Z_DD9A8EC0_978F_40DB_8504_69866F97ABC3_.wvu.Rows" sId="1"/>
    <undo index="6" exp="area" ref3D="1" dr="$A$252:$XFD$257" dn="Z_C050815F_608D_4696_BF1D_66B69F749BD0_.wvu.Rows" sId="1"/>
    <undo index="4" exp="area" ref3D="1" dr="$A$246:$XFD$248" dn="Z_C050815F_608D_4696_BF1D_66B69F749BD0_.wvu.Rows" sId="1"/>
    <undo index="2" exp="area" ref3D="1" dr="$A$241:$XFD$241" dn="Z_C050815F_608D_4696_BF1D_66B69F749BD0_.wvu.Rows" sId="1"/>
    <undo index="1" exp="area" ref3D="1" dr="$A$198:$XFD$200" dn="Z_C050815F_608D_4696_BF1D_66B69F749BD0_.wvu.Rows" sId="1"/>
    <undo index="22" exp="area" ref3D="1" dr="$A$252:$XFD$257" dn="Z_63C81512_0323_449A_8D16_969602EE6D8D_.wvu.Rows" sId="1"/>
    <undo index="20" exp="area" ref3D="1" dr="$A$246:$XFD$248" dn="Z_63C81512_0323_449A_8D16_969602EE6D8D_.wvu.Rows" sId="1"/>
    <undo index="18" exp="area" ref3D="1" dr="$A$241:$XFD$241" dn="Z_63C81512_0323_449A_8D16_969602EE6D8D_.wvu.Rows" sId="1"/>
    <undo index="16" exp="area" ref3D="1" dr="$A$225:$XFD$226" dn="Z_63C81512_0323_449A_8D16_969602EE6D8D_.wvu.Rows" sId="1"/>
    <undo index="14" exp="area" ref3D="1" dr="$A$198:$XFD$200" dn="Z_63C81512_0323_449A_8D16_969602EE6D8D_.wvu.Rows" sId="1"/>
    <undo index="12" exp="area" ref3D="1" dr="$A$183:$XFD$184" dn="Z_63C81512_0323_449A_8D16_969602EE6D8D_.wvu.Rows" sId="1"/>
    <undo index="10" exp="area" ref3D="1" dr="$A$144:$XFD$145" dn="Z_63C81512_0323_449A_8D16_969602EE6D8D_.wvu.Rows" sId="1"/>
    <undo index="8" exp="area" ref3D="1" dr="$A$142:$XFD$142" dn="Z_63C81512_0323_449A_8D16_969602EE6D8D_.wvu.Rows" sId="1"/>
    <undo index="6" exp="area" ref3D="1" dr="$A$116:$XFD$117" dn="Z_63C81512_0323_449A_8D16_969602EE6D8D_.wvu.Rows" sId="1"/>
    <undo index="4" exp="area" ref3D="1" dr="$A$114:$XFD$114" dn="Z_63C81512_0323_449A_8D16_969602EE6D8D_.wvu.Rows" sId="1"/>
    <undo index="2" exp="area" ref3D="1" dr="$A$107:$XFD$107" dn="Z_63C81512_0323_449A_8D16_969602EE6D8D_.wvu.Rows" sId="1"/>
    <undo index="1" exp="area" ref3D="1" dr="$A$92:$XFD$96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476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7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8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Мун.программы!$A$4:$H$276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720" sId="1" odxf="1">
    <oc r="H3" t="inlineStr">
      <is>
        <t>от ___ января 2023  № ___</t>
      </is>
    </oc>
    <nc r="H3" t="inlineStr">
      <is>
        <t>от 23 января 2023  № 236</t>
      </is>
    </nc>
    <odxf/>
  </rcc>
  <rdn rId="0" localSheetId="1" customView="1" name="Z_C050815F_608D_4696_BF1D_66B69F749BD0_.wvu.Rows" hidden="1" oldHidden="1">
    <oldFormula>Мун.программы!#REF!,Мун.программы!$68:$68,Мун.программы!#REF!,Мун.программы!#REF!</oldFormula>
  </rdn>
  <rcv guid="{C050815F-608D-4696-BF1D-66B69F749BD0}" action="delete"/>
  <rdn rId="0" localSheetId="1" customView="1" name="Z_C050815F_608D_4696_BF1D_66B69F749BD0_.wvu.PrintArea" hidden="1" oldHidden="1">
    <formula>Мун.программы!$A$1:$H$280</formula>
    <oldFormula>Мун.программы!$A$5:$H$280</oldFormula>
  </rdn>
  <rdn rId="0" localSheetId="1" customView="1" name="Z_C050815F_608D_4696_BF1D_66B69F749BD0_.wvu.FilterData" hidden="1" oldHidden="1">
    <formula>Мун.программы!$A$20:$Q$416</formula>
    <oldFormula>Мун.программы!$A$20:$Q$416</oldFormula>
  </rdn>
  <rcv guid="{C050815F-608D-4696-BF1D-66B69F749BD0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125" sId="1">
    <oc r="G155">
      <f>71669.6+13536.3-13152.34</f>
    </oc>
    <nc r="G155">
      <f>71669.6+13536.3-13152.34-8902.27</f>
    </nc>
  </rcc>
  <rcc rId="1126" sId="1">
    <oc r="H155">
      <f>71669.6+13536.3-18902.94</f>
    </oc>
    <nc r="H155">
      <f>71669.6+13536.3-18902.94-17760.38</f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cc rId="550" sId="1">
    <oc r="H3" t="inlineStr">
      <is>
        <t>от "___" июля 2022  №___</t>
      </is>
    </oc>
    <nc r="H3" t="inlineStr">
      <is>
        <t>от "22" июля 2022  №202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rc rId="1713" sId="1" ref="A1:XFD4" action="insertRow">
    <undo index="2" exp="area" ref3D="1" dr="$A$64:$XFD$64" dn="Z_C050815F_608D_4696_BF1D_66B69F749BD0_.wvu.Rows" sId="1"/>
    <undo index="18" exp="area" ref3D="1" dr="$A$64:$XFD$64" dn="Z_63C81512_0323_449A_8D16_969602EE6D8D_.wvu.Rows" sId="1"/>
    <undo index="16" exp="area" ref3D="1" dr="$A$242:$XFD$243" dn="Z_63C81512_0323_449A_8D16_969602EE6D8D_.wvu.Rows" sId="1"/>
    <undo index="10" exp="area" ref3D="1" dr="$A$160:$XFD$160" dn="Z_63C81512_0323_449A_8D16_969602EE6D8D_.wvu.Rows" sId="1"/>
    <undo index="6" exp="area" ref3D="1" dr="$A$134:$XFD$134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171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5" sId="1" odxf="1" dxf="1">
    <nc r="H3" t="inlineStr">
      <is>
        <t>от ___ января 2023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6" sId="1">
    <nc r="H1" t="inlineStr">
      <is>
        <t xml:space="preserve">Приложение №8     </t>
      </is>
    </nc>
  </rcc>
  <rdn rId="0" localSheetId="1" customView="1" name="Z_63C81512_0323_449A_8D16_969602EE6D8D_.wvu.Rows" hidden="1" oldHidden="1">
    <oldFormula>Мун.программы!#REF!,Мун.программы!#REF!,Мун.программы!#REF!,Мун.программы!$138:$138,Мун.программы!#REF!,Мун.программы!$164:$164,Мун.программы!#REF!,Мун.программы!#REF!,Мун.программы!$246:$247,Мун.программы!$68:$68,Мун.программы!#REF!,Мун.программы!#REF!</oldFormula>
  </rdn>
  <rcv guid="{63C81512-0323-449A-8D16-969602EE6D8D}" action="delete"/>
  <rdn rId="0" localSheetId="1" customView="1" name="Z_63C81512_0323_449A_8D16_969602EE6D8D_.wvu.PrintArea" hidden="1" oldHidden="1">
    <formula>Мун.программы!$A$1:$H$280</formula>
    <oldFormula>Мун.программы!$A$5:$H$280</oldFormula>
  </rdn>
  <rdn rId="0" localSheetId="1" customView="1" name="Z_63C81512_0323_449A_8D16_969602EE6D8D_.wvu.FilterData" hidden="1" oldHidden="1">
    <formula>Мун.программы!$A$20:$Q$416</formula>
    <oldFormula>Мун.программы!$A$20:$Q$416</oldFormula>
  </rdn>
  <rcv guid="{63C81512-0323-449A-8D16-969602EE6D8D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563" sId="1" odxf="1">
    <oc r="H1" t="inlineStr">
      <is>
        <t>Приложение №8</t>
      </is>
    </oc>
    <nc r="H1" t="inlineStr">
      <is>
        <t>Приложение №9</t>
      </is>
    </nc>
    <odxf/>
  </rcc>
  <rcc rId="564" sId="1" odxf="1">
    <oc r="H3" t="inlineStr">
      <is>
        <t>от "22" июля 2022  №202</t>
      </is>
    </oc>
    <nc r="H3" t="inlineStr">
      <is>
        <t>от "__" ____ 2022  №___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174">
      <f>43055.38+4690.6-2842</f>
    </oc>
    <nc r="G174">
      <f>43055.38+4690.6-2842-680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2:XFD242" start="0" length="2147483647">
    <dxf>
      <font>
        <b/>
      </font>
    </dxf>
  </rfmt>
  <rrc rId="516" sId="1" ref="A242:XFD242" action="insert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</rrc>
  <rrc rId="517" sId="1" ref="A242:XFD242" action="insert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</rrc>
  <rcc rId="518" sId="1">
    <nc r="A24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cc rId="519" sId="1">
    <nc r="A24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A242:XFD242" start="0" length="2147483647">
    <dxf>
      <font>
        <i/>
      </font>
    </dxf>
  </rfmt>
  <rfmt sheetId="1" sqref="B242" start="0" length="0">
    <dxf>
      <font>
        <i val="0"/>
        <name val="Times New Roman"/>
        <family val="1"/>
      </font>
    </dxf>
  </rfmt>
  <rcc rId="520" sId="1">
    <nc r="B242" t="inlineStr">
      <is>
        <t>11001 S23Д0</t>
      </is>
    </nc>
  </rcc>
  <rcc rId="521" sId="1">
    <nc r="B243" t="inlineStr">
      <is>
        <t>11001 S23Д0</t>
      </is>
    </nc>
  </rcc>
  <rcc rId="522" sId="1">
    <nc r="C243" t="inlineStr">
      <is>
        <t>621</t>
      </is>
    </nc>
  </rcc>
  <rcc rId="523" sId="1" odxf="1" dxf="1">
    <nc r="D24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4" sId="1" odxf="1" dxf="1">
    <nc r="E24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5" sId="1" odxf="1" dxf="1">
    <nc r="F24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6" sId="1">
    <nc r="D243" t="inlineStr">
      <is>
        <t>968</t>
      </is>
    </nc>
  </rcc>
  <rcc rId="527" sId="1">
    <nc r="E243" t="inlineStr">
      <is>
        <t>04</t>
      </is>
    </nc>
  </rcc>
  <rcc rId="528" sId="1">
    <nc r="F243" t="inlineStr">
      <is>
        <t>09</t>
      </is>
    </nc>
  </rcc>
  <rcc rId="529" sId="1">
    <nc r="H242">
      <f>H243</f>
    </nc>
  </rcc>
  <rcc rId="530" sId="1" numFmtId="4">
    <nc r="H243">
      <v>0</v>
    </nc>
  </rcc>
  <rcc rId="531" sId="1" numFmtId="4">
    <nc r="G243">
      <v>374.3</v>
    </nc>
  </rcc>
  <rcc rId="532" sId="1">
    <nc r="G242">
      <f>G243</f>
    </nc>
  </rcc>
  <rcc rId="533" sId="1">
    <oc r="G239">
      <f>G244+G240+G247</f>
    </oc>
    <nc r="G239">
      <f>G244+G240+G247+G242</f>
    </nc>
  </rcc>
  <rcc rId="534" sId="1">
    <oc r="H239">
      <f>H244+H240+H247</f>
    </oc>
    <nc r="H239">
      <f>H244+H240+H247+H242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115" sId="1" ref="A1:XFD1" action="deleteRow">
    <undo index="0" exp="area" ref3D="1" dr="$A$1:$H$256" dn="Область_печати" sId="1"/>
    <undo index="2" exp="area" ref3D="1" dr="$A$234:$XFD$234" dn="Z_C050815F_608D_4696_BF1D_66B69F749BD0_.wvu.Rows" sId="1"/>
    <undo index="0" exp="area" ref3D="1" dr="$A$1:$H$256" dn="Z_C050815F_608D_4696_BF1D_66B69F749BD0_.wvu.PrintArea" sId="1"/>
    <undo index="18" exp="area" ref3D="1" dr="$A$234:$XFD$234" dn="Z_63C81512_0323_449A_8D16_969602EE6D8D_.wvu.Rows" sId="1"/>
    <undo index="16" exp="area" ref3D="1" dr="$A$216:$XFD$217" dn="Z_63C81512_0323_449A_8D16_969602EE6D8D_.wvu.Rows" sId="1"/>
    <undo index="10" exp="area" ref3D="1" dr="$A$139:$XFD$139" dn="Z_63C81512_0323_449A_8D16_969602EE6D8D_.wvu.Rows" sId="1"/>
    <undo index="6" exp="area" ref3D="1" dr="$A$113:$XFD$113" dn="Z_63C81512_0323_449A_8D16_969602EE6D8D_.wvu.Rows" sId="1"/>
    <undo index="0" exp="area" ref3D="1" dr="$A$1:$H$256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№9</t>
        </is>
      </nc>
      <ndxf>
        <font>
          <name val="Times New Roman"/>
          <scheme val="none"/>
        </font>
        <alignment horizontal="right" wrapText="0" readingOrder="0"/>
      </ndxf>
    </rcc>
  </rrc>
  <rrc rId="1116" sId="1" ref="A1:XFD1" action="deleteRow">
    <undo index="0" exp="area" ref3D="1" dr="$A$1:$H$255" dn="Область_печати" sId="1"/>
    <undo index="2" exp="area" ref3D="1" dr="$A$233:$XFD$233" dn="Z_C050815F_608D_4696_BF1D_66B69F749BD0_.wvu.Rows" sId="1"/>
    <undo index="0" exp="area" ref3D="1" dr="$A$1:$H$255" dn="Z_C050815F_608D_4696_BF1D_66B69F749BD0_.wvu.PrintArea" sId="1"/>
    <undo index="18" exp="area" ref3D="1" dr="$A$233:$XFD$233" dn="Z_63C81512_0323_449A_8D16_969602EE6D8D_.wvu.Rows" sId="1"/>
    <undo index="16" exp="area" ref3D="1" dr="$A$215:$XFD$216" dn="Z_63C81512_0323_449A_8D16_969602EE6D8D_.wvu.Rows" sId="1"/>
    <undo index="10" exp="area" ref3D="1" dr="$A$138:$XFD$138" dn="Z_63C81512_0323_449A_8D16_969602EE6D8D_.wvu.Rows" sId="1"/>
    <undo index="6" exp="area" ref3D="1" dr="$A$112:$XFD$112" dn="Z_63C81512_0323_449A_8D16_969602EE6D8D_.wvu.Rows" sId="1"/>
    <undo index="0" exp="area" ref3D="1" dr="$A$1:$H$255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117" sId="1" ref="A1:XFD1" action="deleteRow">
    <undo index="0" exp="area" ref3D="1" dr="$A$1:$H$254" dn="Область_печати" sId="1"/>
    <undo index="2" exp="area" ref3D="1" dr="$A$232:$XFD$232" dn="Z_C050815F_608D_4696_BF1D_66B69F749BD0_.wvu.Rows" sId="1"/>
    <undo index="0" exp="area" ref3D="1" dr="$A$1:$H$254" dn="Z_C050815F_608D_4696_BF1D_66B69F749BD0_.wvu.PrintArea" sId="1"/>
    <undo index="18" exp="area" ref3D="1" dr="$A$232:$XFD$232" dn="Z_63C81512_0323_449A_8D16_969602EE6D8D_.wvu.Rows" sId="1"/>
    <undo index="16" exp="area" ref3D="1" dr="$A$214:$XFD$215" dn="Z_63C81512_0323_449A_8D16_969602EE6D8D_.wvu.Rows" sId="1"/>
    <undo index="10" exp="area" ref3D="1" dr="$A$137:$XFD$137" dn="Z_63C81512_0323_449A_8D16_969602EE6D8D_.wvu.Rows" sId="1"/>
    <undo index="6" exp="area" ref3D="1" dr="$A$111:$XFD$111" dn="Z_63C81512_0323_449A_8D16_969602EE6D8D_.wvu.Rows" sId="1"/>
    <undo index="0" exp="area" ref3D="1" dr="$A$1:$H$254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118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2" exp="area" ref3D="1" dr="$A$231:$XFD$231" dn="Z_C050815F_608D_4696_BF1D_66B69F749BD0_.wvu.Rows" sId="1"/>
    <undo index="0" exp="area" ref3D="1" dr="$A$1:$H$253" dn="Z_C050815F_608D_4696_BF1D_66B69F749BD0_.wvu.PrintArea" sId="1"/>
    <undo index="18" exp="area" ref3D="1" dr="$A$231:$XFD$231" dn="Z_63C81512_0323_449A_8D16_969602EE6D8D_.wvu.Rows" sId="1"/>
    <undo index="16" exp="area" ref3D="1" dr="$A$213:$XFD$214" dn="Z_63C81512_0323_449A_8D16_969602EE6D8D_.wvu.Rows" sId="1"/>
    <undo index="10" exp="area" ref3D="1" dr="$A$136:$XFD$136" dn="Z_63C81512_0323_449A_8D16_969602EE6D8D_.wvu.Rows" sId="1"/>
    <undo index="6" exp="area" ref3D="1" dr="$A$110:$XFD$110" dn="Z_63C81512_0323_449A_8D16_969602EE6D8D_.wvu.Rows" sId="1"/>
    <undo index="0" exp="area" ref3D="1" dr="$A$1:$H$253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name val="Times New Roman"/>
          <scheme val="none"/>
        </font>
      </dxf>
    </rfmt>
    <rfmt sheetId="1" sqref="E1" start="0" length="0">
      <dxf>
        <font>
          <name val="Times New Roman"/>
          <scheme val="none"/>
        </font>
      </dxf>
    </rfmt>
    <rfmt sheetId="1" sqref="F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cc rId="1119" sId="1" odxf="1">
    <oc r="H5" t="inlineStr">
      <is>
        <t>«Селенгинский район» на 2022 год"</t>
      </is>
    </oc>
    <nc r="H5" t="inlineStr">
      <is>
        <t>«Селенгинский район» на 2023 год</t>
      </is>
    </nc>
    <odxf/>
  </rcc>
  <rcc rId="1120" sId="1">
    <oc r="G6" t="inlineStr">
      <is>
        <t>плановый период 2023-2024 годов"</t>
      </is>
    </oc>
    <nc r="G6" t="inlineStr">
      <is>
        <t>плановый период 2024-2025 годов"</t>
      </is>
    </nc>
  </rcc>
  <rcc rId="1121" sId="1" odxf="1">
    <oc r="H7" t="inlineStr">
      <is>
        <t>от "23" декабря 2021 № 164</t>
      </is>
    </oc>
    <nc r="H7" t="inlineStr">
      <is>
        <t>от "___" декабря 2022 № ___</t>
      </is>
    </nc>
    <odxf/>
  </rcc>
  <rcc rId="1122" sId="1">
    <oc r="A12" t="inlineStr">
      <is>
        <t xml:space="preserve">Распределение бюджетных ассигнований по муниципальным программам на 2023-2024 год </t>
      </is>
    </oc>
    <nc r="A12" t="inlineStr">
      <is>
        <t xml:space="preserve">Распределение бюджетных ассигнований по муниципальным программам на 2024-2025 год </t>
      </is>
    </nc>
  </rcc>
  <rcc rId="1123" sId="1">
    <oc r="G16">
      <v>2023</v>
    </oc>
    <nc r="G16">
      <v>2024</v>
    </nc>
  </rcc>
  <rcc rId="1124" sId="1">
    <oc r="H16">
      <v>2024</v>
    </oc>
    <nc r="H16">
      <v>2025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542" sId="1">
    <oc r="H1" t="inlineStr">
      <is>
        <t>Приложение №9</t>
      </is>
    </oc>
    <nc r="H1" t="inlineStr">
      <is>
        <t>Приложение №8</t>
      </is>
    </nc>
  </rcc>
  <rcc rId="543" sId="1">
    <oc r="H3" t="inlineStr">
      <is>
        <t>от "27" апреля 2022  № 184</t>
      </is>
    </oc>
    <nc r="H3" t="inlineStr">
      <is>
        <t>от "___" июля 2022  №___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numFmtId="4">
    <oc r="G162">
      <v>27305.97</v>
    </oc>
    <nc r="G162">
      <f>27305.97-117.3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2053" sId="1" odxf="1">
    <oc r="H3" t="inlineStr">
      <is>
        <t>от 17  марта 2023  № 245</t>
      </is>
    </oc>
    <nc r="H3" t="inlineStr">
      <is>
        <t>от __ июня 2023  № ___</t>
      </is>
    </nc>
    <odxf/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1875" sId="1" odxf="1">
    <oc r="H1" t="inlineStr">
      <is>
        <t xml:space="preserve">Приложение №8     </t>
      </is>
    </oc>
    <nc r="H1" t="inlineStr">
      <is>
        <t xml:space="preserve">Приложение №9     </t>
      </is>
    </nc>
    <odxf/>
  </rcc>
  <rcc rId="1876" sId="1" odxf="1">
    <oc r="H3" t="inlineStr">
      <is>
        <t>от 26 января 2023  № 236</t>
      </is>
    </oc>
    <nc r="H3" t="inlineStr">
      <is>
        <t>от       марта 2023  № ___</t>
      </is>
    </nc>
    <odxf/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71" sId="1" odxf="1">
    <oc r="H3" t="inlineStr">
      <is>
        <t>от "__" ____ 2022  №___</t>
      </is>
    </oc>
    <nc r="H3" t="inlineStr">
      <is>
        <t>от "02" ноября 2022  № 210</t>
      </is>
    </nc>
    <odxf/>
  </rcc>
  <rcv guid="{C050815F-608D-4696-BF1D-66B69F749BD0}" action="delete"/>
  <rdn rId="0" localSheetId="1" customView="1" name="Z_C050815F_608D_4696_BF1D_66B69F749BD0_.wvu.PrintArea" hidden="1" oldHidden="1">
    <formula>Мун.программы!$A$1:$H$278</formula>
    <oldFormula>Мун.программы!$A$1:$H$278</oldFormula>
  </rdn>
  <rdn rId="0" localSheetId="1" customView="1" name="Z_C050815F_608D_4696_BF1D_66B69F749BD0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C050815F_608D_4696_BF1D_66B69F749BD0_.wvu.FilterData" hidden="1" oldHidden="1">
    <formula>Мун.программы!$A$20:$Q$414</formula>
    <oldFormula>Мун.программы!$A$20:$Q$414</oldFormula>
  </rdn>
  <rcv guid="{C050815F-608D-4696-BF1D-66B69F749BD0}" action="add"/>
</revisions>
</file>

<file path=xl/revisions/revisionLog16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>
    <oc r="G174">
      <f>43055.38+4690.6-2842-680</f>
    </oc>
    <nc r="G174">
      <f>43055.38+4690.6-2842-680-2438.8-700.32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 numFmtId="4">
    <nc r="G280">
      <v>1090541.8065200001</v>
    </nc>
  </rcc>
  <rcc rId="559" sId="1">
    <nc r="G282">
      <f>G278-G280</f>
    </nc>
  </rcc>
  <rcc rId="560" sId="1" numFmtId="4">
    <nc r="H280">
      <v>1152474.30082</v>
    </nc>
  </rcc>
  <rcc rId="561" sId="1">
    <nc r="H282">
      <f>H278-H280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449" sId="1" odxf="1">
    <oc r="H7" t="inlineStr">
      <is>
        <t>от "___" декабря 2022 № ___</t>
      </is>
    </oc>
    <nc r="H7" t="inlineStr">
      <is>
        <t>от "23" декабря 2022 № 227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H162">
      <f>G162</f>
    </oc>
    <nc r="H162">
      <f>G162+117.3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 numFmtId="4">
    <oc r="H39">
      <v>112.9</v>
    </oc>
    <nc r="H39">
      <v>112.9457</v>
    </nc>
  </rcc>
  <rcc rId="450" sId="1" numFmtId="4">
    <oc r="G39">
      <v>108.6</v>
    </oc>
    <nc r="G39">
      <v>108.60599000000001</v>
    </nc>
  </rcc>
  <rcc rId="451" sId="1" numFmtId="4">
    <oc r="G105">
      <v>2635.2</v>
    </oc>
    <nc r="G105">
      <v>0</v>
    </nc>
  </rcc>
  <rcc rId="452" sId="1" numFmtId="4">
    <oc r="H105">
      <v>2635.2</v>
    </oc>
    <nc r="H105">
      <v>0</v>
    </nc>
  </rcc>
  <rcc rId="453" sId="1">
    <oc r="G126">
      <f>573.17+2919.1</f>
    </oc>
    <nc r="G126">
      <f>573.17+2919.1+42.089</f>
    </nc>
  </rcc>
  <rcc rId="454" sId="1">
    <oc r="H126">
      <f>573.17+2919.1</f>
    </oc>
    <nc r="H126">
      <f>573.17+2919.1+42.089</f>
    </nc>
  </rcc>
  <rcc rId="455" sId="1">
    <oc r="G127">
      <f>173.13+881.6</f>
    </oc>
    <nc r="G127">
      <f>173.13+881.6+12.711</f>
    </nc>
  </rcc>
  <rcc rId="456" sId="1">
    <oc r="H127">
      <f>173.13+881.6</f>
    </oc>
    <nc r="H127">
      <f>173.13+881.6+12.711</f>
    </nc>
  </rcc>
  <rcc rId="457" sId="1">
    <oc r="G148">
      <f>1732.4+453.1</f>
    </oc>
    <nc r="G148">
      <f>1732.4+453.1-0.01376</f>
    </nc>
  </rcc>
  <rcc rId="458" sId="1">
    <oc r="H148">
      <f>1746.1+453.1</f>
    </oc>
    <nc r="H148">
      <f>1746.1+453.1+0.05099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" sId="1" numFmtId="4">
    <oc r="G277">
      <v>1500</v>
    </oc>
    <nc r="G277"/>
  </rcc>
  <rcc rId="576" sId="1" numFmtId="4">
    <oc r="H277">
      <v>1500</v>
    </oc>
    <nc r="H277"/>
  </rcc>
  <rcc rId="577" sId="1" numFmtId="4">
    <oc r="G273">
      <v>14478.09729</v>
    </oc>
    <nc r="G273"/>
  </rcc>
  <rcc rId="578" sId="1" numFmtId="4">
    <oc r="H273">
      <v>16086.76713</v>
    </oc>
    <nc r="H273"/>
  </rcc>
  <rcc rId="579" sId="1" numFmtId="4">
    <oc r="G269">
      <v>200</v>
    </oc>
    <nc r="G269"/>
  </rcc>
  <rcc rId="580" sId="1" numFmtId="4">
    <oc r="H269">
      <v>200</v>
    </oc>
    <nc r="H269"/>
  </rcc>
  <rcc rId="581" sId="1" numFmtId="4">
    <oc r="G265">
      <v>180</v>
    </oc>
    <nc r="G265"/>
  </rcc>
  <rcc rId="582" sId="1" numFmtId="4">
    <oc r="H265">
      <v>180</v>
    </oc>
    <nc r="H265"/>
  </rcc>
  <rcc rId="583" sId="1" numFmtId="4">
    <oc r="G255">
      <v>190.2</v>
    </oc>
    <nc r="G255"/>
  </rcc>
  <rcc rId="584" sId="1" numFmtId="4">
    <oc r="H255">
      <v>190.2</v>
    </oc>
    <nc r="H255"/>
  </rcc>
  <rcc rId="585" sId="1" numFmtId="4">
    <oc r="G246">
      <v>16803.13</v>
    </oc>
    <nc r="G246"/>
  </rcc>
  <rcc rId="586" sId="1" numFmtId="4">
    <oc r="H246">
      <v>16803.13</v>
    </oc>
    <nc r="H246"/>
  </rcc>
  <rcc rId="587" sId="1" numFmtId="4">
    <oc r="G243">
      <v>374.3</v>
    </oc>
    <nc r="G243"/>
  </rcc>
  <rcc rId="588" sId="1" numFmtId="4">
    <oc r="H243">
      <v>0</v>
    </oc>
    <nc r="H243"/>
  </rcc>
  <rcc rId="589" sId="1" numFmtId="4">
    <oc r="G241">
      <v>82141.8</v>
    </oc>
    <nc r="G241"/>
  </rcc>
  <rcc rId="590" sId="1" numFmtId="4">
    <oc r="H241">
      <v>130713.9</v>
    </oc>
    <nc r="H241"/>
  </rcc>
  <rcc rId="591" sId="1" numFmtId="4">
    <oc r="G237">
      <v>105.6</v>
    </oc>
    <nc r="G237"/>
  </rcc>
  <rcc rId="592" sId="1" numFmtId="4">
    <oc r="H237">
      <v>105.6</v>
    </oc>
    <nc r="H237"/>
  </rcc>
  <rcc rId="593" sId="1" numFmtId="4">
    <oc r="G235">
      <v>98</v>
    </oc>
    <nc r="G235"/>
  </rcc>
  <rcc rId="594" sId="1">
    <oc r="H235">
      <f>G235</f>
    </oc>
    <nc r="H235"/>
  </rcc>
  <rcc rId="595" sId="1" numFmtId="4">
    <oc r="G232">
      <v>200</v>
    </oc>
    <nc r="G232"/>
  </rcc>
  <rcc rId="596" sId="1">
    <oc r="H232">
      <f>G232</f>
    </oc>
    <nc r="H232"/>
  </rcc>
  <rcc rId="597" sId="1" numFmtId="4">
    <oc r="G226">
      <v>1444.92</v>
    </oc>
    <nc r="G226"/>
  </rcc>
  <rcc rId="598" sId="1">
    <oc r="H226">
      <f>G226</f>
    </oc>
    <nc r="H226"/>
  </rcc>
  <rcc rId="599" sId="1" numFmtId="4">
    <oc r="G225">
      <v>8112.69</v>
    </oc>
    <nc r="G225"/>
  </rcc>
  <rcc rId="600" sId="1">
    <oc r="H225">
      <f>G225</f>
    </oc>
    <nc r="H225"/>
  </rcc>
  <rcc rId="601" sId="1" numFmtId="4">
    <oc r="G224">
      <v>26863.200000000001</v>
    </oc>
    <nc r="G224"/>
  </rcc>
  <rcc rId="602" sId="1">
    <oc r="H224">
      <f>G224</f>
    </oc>
    <nc r="H224"/>
  </rcc>
  <rcc rId="603" sId="1" numFmtId="4">
    <oc r="G222">
      <v>222.51</v>
    </oc>
    <nc r="G222"/>
  </rcc>
  <rcc rId="604" sId="1">
    <oc r="H222">
      <f>G222</f>
    </oc>
    <nc r="H222"/>
  </rcc>
  <rcc rId="605" sId="1" numFmtId="4">
    <oc r="G221">
      <v>736.8</v>
    </oc>
    <nc r="G221"/>
  </rcc>
  <rcc rId="606" sId="1">
    <oc r="H221">
      <f>G221</f>
    </oc>
    <nc r="H221"/>
  </rcc>
  <rcc rId="607" sId="1" numFmtId="4">
    <oc r="G219">
      <v>88.8</v>
    </oc>
    <nc r="G219"/>
  </rcc>
  <rcc rId="608" sId="1" numFmtId="4">
    <oc r="H219">
      <v>89</v>
    </oc>
    <nc r="H219"/>
  </rcc>
  <rcc rId="609" sId="1" numFmtId="4">
    <oc r="G215">
      <v>16.725000000000001</v>
    </oc>
    <nc r="G215"/>
  </rcc>
  <rcc rId="610" sId="1">
    <oc r="H215">
      <f>G215</f>
    </oc>
    <nc r="H215"/>
  </rcc>
  <rcc rId="611" sId="1" numFmtId="4">
    <oc r="G214">
      <v>55.353999999999999</v>
    </oc>
    <nc r="G214"/>
  </rcc>
  <rcc rId="612" sId="1">
    <oc r="H214">
      <f>G214</f>
    </oc>
    <nc r="H214"/>
  </rcc>
  <rcc rId="613" sId="1" numFmtId="4">
    <oc r="G212">
      <v>17.93</v>
    </oc>
    <nc r="G212"/>
  </rcc>
  <rcc rId="614" sId="1">
    <oc r="H212">
      <f>G212</f>
    </oc>
    <nc r="H212"/>
  </rcc>
  <rcc rId="615" sId="1" numFmtId="4">
    <oc r="G211">
      <v>59.37</v>
    </oc>
    <nc r="G211"/>
  </rcc>
  <rcc rId="616" sId="1">
    <oc r="H211">
      <f>G211</f>
    </oc>
    <nc r="H211"/>
  </rcc>
  <rcc rId="617" sId="1" numFmtId="4">
    <oc r="G209">
      <v>0</v>
    </oc>
    <nc r="G209"/>
  </rcc>
  <rcc rId="618" sId="1" numFmtId="4">
    <oc r="H209">
      <v>0</v>
    </oc>
    <nc r="H209"/>
  </rcc>
  <rcc rId="619" sId="1" numFmtId="4">
    <oc r="G208">
      <v>4805.2380000000003</v>
    </oc>
    <nc r="G208"/>
  </rcc>
  <rcc rId="620" sId="1">
    <oc r="H208">
      <f>G208</f>
    </oc>
    <nc r="H208"/>
  </rcc>
  <rcc rId="621" sId="1" numFmtId="4">
    <oc r="G206">
      <v>5153.3</v>
    </oc>
    <nc r="G206"/>
  </rcc>
  <rcc rId="622" sId="1">
    <oc r="H206">
      <f>G206</f>
    </oc>
    <nc r="H206"/>
  </rcc>
  <rcc rId="623" sId="1" numFmtId="4">
    <oc r="G199">
      <v>33017</v>
    </oc>
    <nc r="G199"/>
  </rcc>
  <rcc rId="624" sId="1" numFmtId="4">
    <oc r="H199">
      <v>33017</v>
    </oc>
    <nc r="H199"/>
  </rcc>
  <rcc rId="625" sId="1" numFmtId="4">
    <oc r="G198">
      <v>9312.7999999999993</v>
    </oc>
    <nc r="G198"/>
  </rcc>
  <rcc rId="626" sId="1" numFmtId="4">
    <oc r="H198">
      <v>9312.7999999999993</v>
    </oc>
    <nc r="H198"/>
  </rcc>
  <rcc rId="627" sId="1" numFmtId="4">
    <oc r="G196">
      <v>24116</v>
    </oc>
    <nc r="G196"/>
  </rcc>
  <rcc rId="628" sId="1">
    <oc r="H196">
      <f>G196</f>
    </oc>
    <nc r="H196"/>
  </rcc>
  <rcc rId="629" sId="1" numFmtId="4">
    <oc r="G195">
      <v>8634.52</v>
    </oc>
    <nc r="G195"/>
  </rcc>
  <rcc rId="630" sId="1">
    <oc r="H195">
      <f>G195</f>
    </oc>
    <nc r="H195"/>
  </rcc>
  <rcc rId="631" sId="1" numFmtId="4">
    <oc r="G191">
      <v>9373.7900000000009</v>
    </oc>
    <nc r="G191"/>
  </rcc>
  <rcc rId="632" sId="1">
    <oc r="H191">
      <f>G191</f>
    </oc>
    <nc r="H191"/>
  </rcc>
  <rcc rId="633" sId="1" numFmtId="4">
    <oc r="G188">
      <v>203.2</v>
    </oc>
    <nc r="G188"/>
  </rcc>
  <rcc rId="634" sId="1" numFmtId="4">
    <oc r="H188">
      <v>203.2</v>
    </oc>
    <nc r="H188"/>
  </rcc>
  <rcc rId="635" sId="1">
    <oc r="G187">
      <f>G188</f>
    </oc>
    <nc r="G187"/>
  </rcc>
  <rcc rId="636" sId="1">
    <oc r="H187">
      <f>H188</f>
    </oc>
    <nc r="H187"/>
  </rcc>
  <rcc rId="637" sId="1" numFmtId="4">
    <oc r="G184">
      <v>98810</v>
    </oc>
    <nc r="G184"/>
  </rcc>
  <rcc rId="638" sId="1">
    <oc r="H184">
      <f>G184</f>
    </oc>
    <nc r="H184"/>
  </rcc>
  <rcc rId="639" sId="1" numFmtId="4">
    <oc r="G182">
      <v>386</v>
    </oc>
    <nc r="G182"/>
  </rcc>
  <rcc rId="640" sId="1" numFmtId="4">
    <oc r="H182">
      <v>386</v>
    </oc>
    <nc r="H182"/>
  </rcc>
  <rcc rId="641" sId="1">
    <oc r="G180">
      <f>8922.5</f>
    </oc>
    <nc r="G180"/>
  </rcc>
  <rcc rId="642" sId="1">
    <oc r="H180">
      <f>G180</f>
    </oc>
    <nc r="H180"/>
  </rcc>
  <rcc rId="643" sId="1" numFmtId="4">
    <oc r="G178">
      <v>576.6</v>
    </oc>
    <nc r="G178"/>
  </rcc>
  <rcc rId="644" sId="1" numFmtId="4">
    <oc r="H178">
      <v>576.6</v>
    </oc>
    <nc r="H178"/>
  </rcc>
  <rcc rId="645" sId="1" numFmtId="4">
    <oc r="G176">
      <v>29166.7</v>
    </oc>
    <nc r="G176"/>
  </rcc>
  <rcc rId="646" sId="1" numFmtId="4">
    <oc r="H176">
      <v>29985</v>
    </oc>
    <nc r="H176"/>
  </rcc>
  <rcc rId="647" sId="1">
    <oc r="G174">
      <f>43055.38+4690.6-2842-680-2438.8-700.32</f>
    </oc>
    <nc r="G174"/>
  </rcc>
  <rcc rId="648" sId="1">
    <oc r="H174">
      <f>43055.38+8223</f>
    </oc>
    <nc r="H174"/>
  </rcc>
  <rcc rId="649" sId="1" numFmtId="4">
    <oc r="G172">
      <v>5922.8</v>
    </oc>
    <nc r="G172"/>
  </rcc>
  <rcc rId="650" sId="1" numFmtId="4">
    <oc r="H172">
      <v>5935.3</v>
    </oc>
    <nc r="H172"/>
  </rcc>
  <rcc rId="651" sId="1" numFmtId="4">
    <oc r="G170">
      <v>244059.9</v>
    </oc>
    <nc r="G170"/>
  </rcc>
  <rcc rId="652" sId="1">
    <oc r="H170">
      <f>G170</f>
    </oc>
    <nc r="H170"/>
  </rcc>
  <rcc rId="653" sId="1" numFmtId="4">
    <oc r="G168">
      <v>30491.200000000001</v>
    </oc>
    <nc r="G168"/>
  </rcc>
  <rcc rId="654" sId="1" numFmtId="4">
    <oc r="H168">
      <v>35783.1</v>
    </oc>
    <nc r="H168"/>
  </rcc>
  <rcc rId="655" sId="1" numFmtId="4">
    <oc r="G164">
      <v>87219.199999999997</v>
    </oc>
    <nc r="G164"/>
  </rcc>
  <rcc rId="656" sId="1">
    <oc r="H164">
      <f>G164</f>
    </oc>
    <nc r="H164"/>
  </rcc>
  <rcc rId="657" sId="1">
    <oc r="G162">
      <f>27305.97-117.3</f>
    </oc>
    <nc r="G162"/>
  </rcc>
  <rcc rId="658" sId="1">
    <oc r="H162">
      <f>G162+117.3</f>
    </oc>
    <nc r="H162"/>
  </rcc>
  <rcc rId="659" sId="1" numFmtId="4">
    <oc r="G160">
      <v>125717.6</v>
    </oc>
    <nc r="G160"/>
  </rcc>
  <rcc rId="660" sId="1">
    <oc r="H160">
      <f>G160</f>
    </oc>
    <nc r="H160"/>
  </rcc>
  <rcc rId="661" sId="1">
    <oc r="G155">
      <f>1406.3-400</f>
    </oc>
    <nc r="G155"/>
  </rcc>
  <rcc rId="662" sId="1">
    <oc r="H155">
      <f>1406.3-400</f>
    </oc>
    <nc r="H155"/>
  </rcc>
  <rcc rId="663" sId="1" numFmtId="4">
    <oc r="G145">
      <v>658.4</v>
    </oc>
    <nc r="G145"/>
  </rcc>
  <rcc rId="664" sId="1" numFmtId="4">
    <oc r="H145">
      <v>658.4</v>
    </oc>
    <nc r="H145"/>
  </rcc>
  <rcc rId="665" sId="1" numFmtId="4">
    <oc r="G143">
      <v>2180.1</v>
    </oc>
    <nc r="G143"/>
  </rcc>
  <rcc rId="666" sId="1" numFmtId="4">
    <oc r="H143">
      <v>2180.1</v>
    </oc>
    <nc r="H143"/>
  </rcc>
  <rcc rId="667" sId="1" numFmtId="4">
    <oc r="G141">
      <v>227.7</v>
    </oc>
    <nc r="G141"/>
  </rcc>
  <rcc rId="668" sId="1" numFmtId="4">
    <oc r="H141">
      <v>227.7</v>
    </oc>
    <nc r="H141"/>
  </rcc>
  <rcc rId="669" sId="1" numFmtId="4">
    <oc r="G140">
      <v>753.9</v>
    </oc>
    <nc r="G140"/>
  </rcc>
  <rcc rId="670" sId="1" numFmtId="4">
    <oc r="H140">
      <v>753.9</v>
    </oc>
    <nc r="H140"/>
  </rcc>
  <rcc rId="671" sId="1">
    <oc r="G134">
      <f>27284.1-2000</f>
    </oc>
    <nc r="G134"/>
  </rcc>
  <rcc rId="672" sId="1">
    <oc r="H134">
      <f>27284.1-2000</f>
    </oc>
    <nc r="H134"/>
  </rcc>
  <rcc rId="673" sId="1" numFmtId="4">
    <oc r="G117">
      <v>2485</v>
    </oc>
    <nc r="G117"/>
  </rcc>
  <rcc rId="674" sId="1" numFmtId="4">
    <oc r="H117">
      <v>2485</v>
    </oc>
    <nc r="H117"/>
  </rcc>
  <rcc rId="675" sId="1" numFmtId="4">
    <oc r="G115">
      <v>8228.2999999999993</v>
    </oc>
    <nc r="G115"/>
  </rcc>
  <rcc rId="676" sId="1" numFmtId="4">
    <oc r="H115">
      <v>8228.2999999999993</v>
    </oc>
    <nc r="H115"/>
  </rcc>
  <rcc rId="677" sId="1" numFmtId="4">
    <oc r="G113">
      <v>233.5</v>
    </oc>
    <nc r="G113"/>
  </rcc>
  <rcc rId="678" sId="1" numFmtId="4">
    <oc r="H113">
      <v>233.5</v>
    </oc>
    <nc r="H113"/>
  </rcc>
  <rcc rId="679" sId="1" numFmtId="4">
    <oc r="G112">
      <v>773.4</v>
    </oc>
    <nc r="G112"/>
  </rcc>
  <rcc rId="680" sId="1" numFmtId="4">
    <oc r="H112">
      <v>773.4</v>
    </oc>
    <nc r="H112"/>
  </rcc>
  <rcc rId="681" sId="1">
    <oc r="G104">
      <f>13410.9-974.59-2000</f>
    </oc>
    <nc r="G104"/>
  </rcc>
  <rcc rId="682" sId="1">
    <oc r="H104">
      <f>13410.9-2485.09-3000</f>
    </oc>
    <nc r="H104"/>
  </rcc>
  <rcc rId="683" sId="1">
    <oc r="G93">
      <f>16704.4-9000+107.9</f>
    </oc>
    <nc r="G93"/>
  </rcc>
  <rcc rId="684" sId="1">
    <oc r="H93">
      <f>16704.4-10000</f>
    </oc>
    <nc r="H93"/>
  </rcc>
  <rcc rId="685" sId="1" numFmtId="4">
    <oc r="G87">
      <v>5285.6</v>
    </oc>
    <nc r="G87"/>
  </rcc>
  <rcc rId="686" sId="1" numFmtId="4">
    <oc r="H87">
      <v>4285.6000000000004</v>
    </oc>
    <nc r="H87"/>
  </rcc>
  <rcc rId="687" sId="1">
    <oc r="G80">
      <f>181</f>
    </oc>
    <nc r="G80"/>
  </rcc>
  <rcc rId="688" sId="1">
    <oc r="H80">
      <f>181</f>
    </oc>
    <nc r="H80"/>
  </rcc>
  <rcc rId="689" sId="1" numFmtId="4">
    <oc r="G76">
      <v>430</v>
    </oc>
    <nc r="G76"/>
  </rcc>
  <rcc rId="690" sId="1" numFmtId="4">
    <oc r="H76">
      <v>430</v>
    </oc>
    <nc r="H76"/>
  </rcc>
  <rcc rId="691" sId="1" numFmtId="4">
    <oc r="G72">
      <v>30</v>
    </oc>
    <nc r="G72"/>
  </rcc>
  <rcc rId="692" sId="1" numFmtId="4">
    <oc r="H72">
      <v>30</v>
    </oc>
    <nc r="H72"/>
  </rcc>
  <rcc rId="693" sId="1" numFmtId="4">
    <oc r="G67">
      <v>50</v>
    </oc>
    <nc r="G67"/>
  </rcc>
  <rcc rId="694" sId="1" numFmtId="4">
    <oc r="H67">
      <v>50</v>
    </oc>
    <nc r="H67"/>
  </rcc>
  <rcc rId="695" sId="1" numFmtId="4">
    <oc r="G63">
      <v>105</v>
    </oc>
    <nc r="G63"/>
  </rcc>
  <rcc rId="696" sId="1" numFmtId="4">
    <oc r="H63">
      <v>105</v>
    </oc>
    <nc r="H63"/>
  </rcc>
  <rcc rId="697" sId="1">
    <oc r="G59">
      <f>200+50</f>
    </oc>
    <nc r="G59"/>
  </rcc>
  <rcc rId="698" sId="1">
    <oc r="H59">
      <f>300+75</f>
    </oc>
    <nc r="H59"/>
  </rcc>
  <rcc rId="699" sId="1">
    <oc r="G55">
      <f>125+20+15+350</f>
    </oc>
    <nc r="G55"/>
  </rcc>
  <rcc rId="700" sId="1">
    <oc r="H55">
      <f>125+20+15+350</f>
    </oc>
    <nc r="H55"/>
  </rcc>
  <rcc rId="701" sId="1" numFmtId="4">
    <oc r="G52">
      <v>1512.6</v>
    </oc>
    <nc r="G52"/>
  </rcc>
  <rcc rId="702" sId="1" numFmtId="4">
    <oc r="H52">
      <v>1512.6</v>
    </oc>
    <nc r="H52"/>
  </rcc>
  <rcc rId="703" sId="1" numFmtId="4">
    <oc r="G51">
      <v>5008.6000000000004</v>
    </oc>
    <nc r="G51"/>
  </rcc>
  <rcc rId="704" sId="1" numFmtId="4">
    <oc r="H51">
      <v>5008.6000000000004</v>
    </oc>
    <nc r="H51"/>
  </rcc>
  <rcc rId="705" sId="1" numFmtId="4">
    <oc r="G46">
      <v>300</v>
    </oc>
    <nc r="G46"/>
  </rcc>
  <rcc rId="706" sId="1" numFmtId="4">
    <oc r="H46">
      <v>300</v>
    </oc>
    <nc r="H46"/>
  </rcc>
  <rcc rId="707" sId="1" numFmtId="4">
    <oc r="G42">
      <v>108.60599000000001</v>
    </oc>
    <nc r="G42"/>
  </rcc>
  <rcc rId="708" sId="1" numFmtId="4">
    <oc r="H42">
      <v>112.9457</v>
    </oc>
    <nc r="H42"/>
  </rcc>
  <rcc rId="709" sId="1" numFmtId="4">
    <oc r="G40">
      <v>18167.5</v>
    </oc>
    <nc r="G40"/>
  </rcc>
  <rcc rId="710" sId="1" numFmtId="4">
    <oc r="H40">
      <v>18335.099999999999</v>
    </oc>
    <nc r="H40"/>
  </rcc>
  <rcc rId="711" sId="1" numFmtId="4">
    <oc r="G36">
      <v>1700.9</v>
    </oc>
    <nc r="G36"/>
  </rcc>
  <rcc rId="712" sId="1" numFmtId="4">
    <oc r="H36">
      <v>1700.9</v>
    </oc>
    <nc r="H36"/>
  </rcc>
  <rcc rId="713" sId="1" numFmtId="4">
    <oc r="G35">
      <v>5632.2</v>
    </oc>
    <nc r="G35"/>
  </rcc>
  <rcc rId="714" sId="1" numFmtId="4">
    <oc r="H35">
      <v>5632.2</v>
    </oc>
    <nc r="H35"/>
  </rcc>
  <rcc rId="715" sId="1" numFmtId="4">
    <oc r="G30">
      <v>41</v>
    </oc>
    <nc r="G30"/>
  </rcc>
  <rcc rId="716" sId="1" numFmtId="4">
    <oc r="H30">
      <v>41</v>
    </oc>
    <nc r="H30"/>
  </rcc>
  <rcc rId="717" sId="1">
    <oc r="G27">
      <f>184+184</f>
    </oc>
    <nc r="G27"/>
  </rcc>
  <rcc rId="718" sId="1">
    <oc r="H27">
      <f>184+184</f>
    </oc>
    <nc r="H27"/>
  </rcc>
  <rcc rId="719" sId="1" numFmtId="4">
    <oc r="G24">
      <v>100</v>
    </oc>
    <nc r="G24"/>
  </rcc>
  <rcc rId="720" sId="1" numFmtId="4">
    <oc r="H24">
      <v>100</v>
    </oc>
    <nc r="H24"/>
  </rcc>
  <rrc rId="721" sId="1" ref="A94:XFD94" action="deleteRow">
    <undo index="65535" exp="ref" v="1" dr="H94" r="H81" sId="1"/>
    <undo index="65535" exp="ref" v="1" dr="G94" r="G81" sId="1"/>
    <undo index="65535" exp="area" ref3D="1" dr="$A$256:$XFD$261" dn="Z_C050815F_608D_4696_BF1D_66B69F749BD0_.wvu.Rows" sId="1"/>
    <undo index="65535" exp="area" ref3D="1" dr="$A$250:$XFD$252" dn="Z_C050815F_608D_4696_BF1D_66B69F749BD0_.wvu.Rows" sId="1"/>
    <undo index="65535" exp="area" ref3D="1" dr="$A$245:$XFD$245" dn="Z_C050815F_608D_4696_BF1D_66B69F749BD0_.wvu.Rows" sId="1"/>
    <undo index="1" exp="area" ref3D="1" dr="$A$200:$XFD$202" dn="Z_C050815F_608D_4696_BF1D_66B69F749BD0_.wvu.Rows" sId="1"/>
    <undo index="65535" exp="area" ref3D="1" dr="$A$256:$XFD$261" dn="Z_DD9A8EC0_978F_40DB_8504_69866F97ABC3_.wvu.Rows" sId="1"/>
    <undo index="65535" exp="area" ref3D="1" dr="$A$250:$XFD$252" dn="Z_DD9A8EC0_978F_40DB_8504_69866F97ABC3_.wvu.Rows" sId="1"/>
    <undo index="65535" exp="area" ref3D="1" dr="$A$245:$XFD$245" dn="Z_DD9A8EC0_978F_40DB_8504_69866F97ABC3_.wvu.Rows" sId="1"/>
    <undo index="1" exp="area" ref3D="1" dr="$A$200:$XFD$202" dn="Z_DD9A8EC0_978F_40DB_8504_69866F97ABC3_.wvu.Rows" sId="1"/>
    <undo index="65535" exp="area" ref3D="1" dr="$A$256:$XFD$261" dn="Z_63C81512_0323_449A_8D16_969602EE6D8D_.wvu.Rows" sId="1"/>
    <undo index="65535" exp="area" ref3D="1" dr="$A$250:$XFD$252" dn="Z_63C81512_0323_449A_8D16_969602EE6D8D_.wvu.Rows" sId="1"/>
    <undo index="65535" exp="area" ref3D="1" dr="$A$245:$XFD$245" dn="Z_63C81512_0323_449A_8D16_969602EE6D8D_.wvu.Rows" sId="1"/>
    <undo index="65535" exp="area" ref3D="1" dr="$A$227:$XFD$228" dn="Z_63C81512_0323_449A_8D16_969602EE6D8D_.wvu.Rows" sId="1"/>
    <undo index="65535" exp="area" ref3D="1" dr="$A$200:$XFD$202" dn="Z_63C81512_0323_449A_8D16_969602EE6D8D_.wvu.Rows" sId="1"/>
    <undo index="65535" exp="area" ref3D="1" dr="$A$185:$XFD$186" dn="Z_63C81512_0323_449A_8D16_969602EE6D8D_.wvu.Rows" sId="1"/>
    <undo index="65535" exp="area" ref3D="1" dr="$A$146:$XFD$147" dn="Z_63C81512_0323_449A_8D16_969602EE6D8D_.wvu.Rows" sId="1"/>
    <undo index="65535" exp="area" ref3D="1" dr="$A$144:$XFD$144" dn="Z_63C81512_0323_449A_8D16_969602EE6D8D_.wvu.Rows" sId="1"/>
    <undo index="65535" exp="area" ref3D="1" dr="$A$118:$XFD$119" dn="Z_63C81512_0323_449A_8D16_969602EE6D8D_.wvu.Rows" sId="1"/>
    <undo index="65535" exp="area" ref3D="1" dr="$A$116:$XFD$116" dn="Z_63C81512_0323_449A_8D16_969602EE6D8D_.wvu.Rows" sId="1"/>
    <undo index="65535" exp="area" ref3D="1" dr="$A$109:$XFD$109" dn="Z_63C81512_0323_449A_8D16_969602EE6D8D_.wvu.Rows" sId="1"/>
    <undo index="1" exp="area" ref3D="1" dr="$A$94:$XFD$98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 xml:space="preserve">Непрограммные расходы 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2" sId="1" ref="A94:XFD94" action="delete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1" exp="area" ref3D="1" dr="$A$199:$XFD$201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1" exp="area" ref3D="1" dr="$A$199:$XFD$201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  <undo index="65535" exp="area" ref3D="1" dr="$A$226:$XFD$227" dn="Z_63C81512_0323_449A_8D16_969602EE6D8D_.wvu.Rows" sId="1"/>
    <undo index="65535" exp="area" ref3D="1" dr="$A$199:$XFD$201" dn="Z_63C81512_0323_449A_8D16_969602EE6D8D_.wvu.Rows" sId="1"/>
    <undo index="65535" exp="area" ref3D="1" dr="$A$184:$XFD$185" dn="Z_63C81512_0323_449A_8D16_969602EE6D8D_.wvu.Rows" sId="1"/>
    <undo index="65535" exp="area" ref3D="1" dr="$A$145:$XFD$146" dn="Z_63C81512_0323_449A_8D16_969602EE6D8D_.wvu.Rows" sId="1"/>
    <undo index="65535" exp="area" ref3D="1" dr="$A$143:$XFD$143" dn="Z_63C81512_0323_449A_8D16_969602EE6D8D_.wvu.Rows" sId="1"/>
    <undo index="65535" exp="area" ref3D="1" dr="$A$117:$XFD$118" dn="Z_63C81512_0323_449A_8D16_969602EE6D8D_.wvu.Rows" sId="1"/>
    <undo index="65535" exp="area" ref3D="1" dr="$A$115:$XFD$115" dn="Z_63C81512_0323_449A_8D16_969602EE6D8D_.wvu.Rows" sId="1"/>
    <undo index="65535" exp="area" ref3D="1" dr="$A$108:$XFD$108" dn="Z_63C81512_0323_449A_8D16_969602EE6D8D_.wvu.Rows" sId="1"/>
    <undo index="1" exp="area" ref3D="1" dr="$A$94:$XFD$97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3" sId="1" ref="A94:XFD94" action="delete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4:$XFD$145" dn="Z_63C81512_0323_449A_8D16_969602EE6D8D_.wvu.Rows" sId="1"/>
    <undo index="65535" exp="area" ref3D="1" dr="$A$142:$XFD$142" dn="Z_63C81512_0323_449A_8D16_969602EE6D8D_.wvu.Rows" sId="1"/>
    <undo index="65535" exp="area" ref3D="1" dr="$A$116:$XFD$117" dn="Z_63C81512_0323_449A_8D16_969602EE6D8D_.wvu.Rows" sId="1"/>
    <undo index="65535" exp="area" ref3D="1" dr="$A$114:$XFD$114" dn="Z_63C81512_0323_449A_8D16_969602EE6D8D_.wvu.Rows" sId="1"/>
    <undo index="65535" exp="area" ref3D="1" dr="$A$107:$XFD$107" dn="Z_63C81512_0323_449A_8D16_969602EE6D8D_.wvu.Rows" sId="1"/>
    <undo index="1" exp="area" ref3D="1" dr="$A$94:$XFD$96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4" sId="1" ref="A94:XFD94" action="delete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1" exp="area" ref3D="1" dr="$A$94:$XFD$95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Повышение средней заработной платы работников муниципальных учреждений культуры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5" sId="1" ref="A94:XFD94" action="deleteRow">
    <undo index="65535" exp="ref" v="1" dr="H94" r="J152" sId="1"/>
    <undo index="65535" exp="ref" v="1" dr="G94" r="I152" sId="1"/>
    <undo index="65535" exp="ref" v="1" dr="H94" r="K100" sId="1"/>
    <undo index="65535" exp="ref" v="1" dr="G94" r="J100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  <undo index="1" exp="area" ref3D="1" dr="$A$94:$XFD$94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26" sId="1">
    <oc r="G81">
      <f>G82+G88+G94+G100+#REF!</f>
    </oc>
    <nc r="G81">
      <f>G82+G88+G94+G100</f>
    </nc>
  </rcc>
  <rcc rId="727" sId="1">
    <oc r="H81">
      <f>H82+H88+H94+H100+#REF!</f>
    </oc>
    <nc r="H81">
      <f>H82+H88+H94+H100</f>
    </nc>
  </rcc>
  <rcc rId="728" sId="1" xfDxf="1" dxf="1">
    <oc r="A96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96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9" sId="1" xfDxf="1" dxf="1" numFmtId="4">
    <oc r="G97">
      <v>13857.7</v>
    </oc>
    <nc r="G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" sId="1" xfDxf="1" dxf="1" numFmtId="4">
    <oc r="H97">
      <v>13857.7</v>
    </oc>
    <nc r="H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1" sId="1" xfDxf="1" dxf="1" numFmtId="4">
    <oc r="G85">
      <v>5973.51</v>
    </oc>
    <nc r="G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2" sId="1" xfDxf="1" dxf="1" numFmtId="4">
    <oc r="H85">
      <v>5973.51</v>
    </oc>
    <nc r="H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" sId="1" xfDxf="1" dxf="1" numFmtId="4">
    <oc r="G91">
      <v>8921.49</v>
    </oc>
    <nc r="G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4" sId="1" xfDxf="1" dxf="1" numFmtId="4">
    <oc r="H91">
      <v>8921.49</v>
    </oc>
    <nc r="H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35" sId="1" ref="A143:XFD143" action="insertRow"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40:$XFD$240" dn="Z_C050815F_608D_4696_BF1D_66B69F749BD0_.wvu.Rows" sId="1"/>
    <undo index="1" exp="area" ref3D="1" dr="$A$195:$XFD$197" dn="Z_C050815F_608D_4696_BF1D_66B69F749BD0_.wvu.Rows" sId="1"/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40:$XFD$240" dn="Z_DD9A8EC0_978F_40DB_8504_69866F97ABC3_.wvu.Rows" sId="1"/>
    <undo index="1" exp="area" ref3D="1" dr="$A$195:$XFD$197" dn="Z_DD9A8EC0_978F_40DB_8504_69866F97ABC3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</rrc>
  <rrc rId="736" sId="1" ref="A143:XFD143" action="insertRow"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cc rId="737" sId="1" xfDxf="1" dxf="1">
    <nc r="B144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xfDxf="1" dxf="1">
    <nc r="C144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xfDxf="1" dxf="1">
    <nc r="D144" t="inlineStr">
      <is>
        <t>975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xfDxf="1" dxf="1">
    <nc r="E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1" sId="1" xfDxf="1" dxf="1">
    <nc r="F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xfDxf="1" dxf="1">
    <nc r="A144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dxf="1">
    <nc r="B143" t="inlineStr">
      <is>
        <t>09401 83890</t>
      </is>
    </nc>
    <odxf/>
    <ndxf/>
  </rcc>
  <rcc rId="744" sId="1" odxf="1" dxf="1">
    <nc r="D143" t="inlineStr">
      <is>
        <t>975</t>
      </is>
    </nc>
    <odxf/>
    <ndxf/>
  </rcc>
  <rcc rId="745" sId="1" odxf="1" dxf="1">
    <nc r="E143" t="inlineStr">
      <is>
        <t>07</t>
      </is>
    </nc>
    <odxf/>
    <ndxf/>
  </rcc>
  <rcc rId="746" sId="1" odxf="1" dxf="1">
    <nc r="F143" t="inlineStr">
      <is>
        <t>07</t>
      </is>
    </nc>
    <odxf/>
    <ndxf/>
  </rcc>
  <rcc rId="747" sId="1" xfDxf="1" dxf="1">
    <nc r="A143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48" sId="1" ref="A143:XFD143" action="insert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49" sId="1" xfDxf="1" dxf="1">
    <nc r="A143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xfDxf="1" dxf="1">
    <nc r="B143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D143" t="inlineStr">
      <is>
        <t>975</t>
      </is>
    </nc>
    <odxf/>
    <ndxf/>
  </rcc>
  <rcc rId="752" sId="1" odxf="1" dxf="1">
    <nc r="E143" t="inlineStr">
      <is>
        <t>07</t>
      </is>
    </nc>
    <odxf/>
    <ndxf/>
  </rcc>
  <rcc rId="753" sId="1" odxf="1" dxf="1">
    <nc r="F143" t="inlineStr">
      <is>
        <t>07</t>
      </is>
    </nc>
    <odxf/>
    <ndxf/>
  </rcc>
  <rcc rId="754" sId="1" xfDxf="1" dxf="1" numFmtId="4">
    <nc r="G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5" sId="1" xfDxf="1" dxf="1" numFmtId="4">
    <nc r="H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>
    <nc r="G144">
      <f>G145</f>
    </nc>
  </rcc>
  <rcc rId="757" sId="1" odxf="1" dxf="1">
    <nc r="H144">
      <f>H145</f>
    </nc>
    <odxf/>
    <ndxf/>
  </rcc>
  <rcc rId="758" sId="1">
    <nc r="G143">
      <f>G144</f>
    </nc>
  </rcc>
  <rcc rId="759" sId="1" odxf="1" dxf="1">
    <nc r="H143">
      <f>H144</f>
    </nc>
    <odxf/>
    <ndxf/>
  </rcc>
  <rcc rId="760" sId="1">
    <oc r="G115">
      <f>G116+G120+G126+G132+G146+G151</f>
    </oc>
    <nc r="G115">
      <f>G116+G120+G126+G132+G146+G151+G143</f>
    </nc>
  </rcc>
  <rcc rId="761" sId="1">
    <oc r="H115">
      <f>H116+H120+H126+H132+H146+H151</f>
    </oc>
    <nc r="H115">
      <f>H116+H120+H126+H132+H146+H151+H143</f>
    </nc>
  </rcc>
  <rcc rId="762" sId="1" xfDxf="1" dxf="1" numFmtId="4">
    <oc r="G149">
      <f>1732.4+453.1-0.01376</f>
    </oc>
    <nc r="G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xfDxf="1" dxf="1" numFmtId="4">
    <oc r="H149">
      <f>1746.1+453.1+0.05099</f>
    </oc>
    <nc r="H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xfDxf="1" dxf="1" numFmtId="4">
    <oc r="G125">
      <f>173.13+881.6+12.711</f>
    </oc>
    <nc r="G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xfDxf="1" dxf="1" numFmtId="4">
    <oc r="H125">
      <f>173.13+881.6+12.711</f>
    </oc>
    <nc r="H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xfDxf="1" dxf="1" numFmtId="4">
    <oc r="G124">
      <f>573.17+2919.1+42.089</f>
    </oc>
    <nc r="G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xfDxf="1" dxf="1" numFmtId="4">
    <oc r="H124">
      <f>573.17+2919.1+42.089</f>
    </oc>
    <nc r="H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xfDxf="1" dxf="1">
    <oc r="A130" t="inlineStr">
      <is>
        <t xml:space="preserve">Субсидии муниципальным учереждениям, реализующим программы спортивной подготовки на 2020 год   </t>
      </is>
    </oc>
    <nc r="A130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9" sId="1" xfDxf="1" dxf="1" numFmtId="4">
    <oc r="G131">
      <v>7090.2</v>
    </oc>
    <nc r="G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xfDxf="1" dxf="1" numFmtId="4">
    <oc r="H131">
      <v>7090.2</v>
    </oc>
    <nc r="H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>
    <nc r="G27">
      <f>208</f>
    </nc>
  </rcc>
  <rcc rId="772" sId="1">
    <nc r="H27">
      <f>208</f>
    </nc>
  </rcc>
  <rcc rId="773" sId="1" odxf="1" dxf="1">
    <nc r="G40">
      <f>15693.3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4" sId="1" odxf="1" dxf="1" numFmtId="4">
    <nc r="H40">
      <v>15974.1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5" sId="1" numFmtId="4">
    <nc r="G42">
      <v>110.4</v>
    </nc>
  </rcc>
  <rcc rId="776" sId="1" numFmtId="4">
    <nc r="H42">
      <v>114.8</v>
    </nc>
  </rcc>
  <rcc rId="777" sId="1" numFmtId="4">
    <nc r="G59">
      <f>120</f>
    </nc>
  </rcc>
  <rcc rId="778" sId="1">
    <nc r="H59">
      <f>120</f>
    </nc>
  </rcc>
  <rcc rId="779" sId="1" odxf="1" dxf="1" numFmtId="4">
    <nc r="G158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0" sId="1" odxf="1" dxf="1" numFmtId="4">
    <nc r="H158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81" sId="1" ref="A161:XFD161" action="deleteRow">
    <undo index="65535" exp="ref" v="1" dr="H161" r="H156" sId="1"/>
    <undo index="65535" exp="ref" v="1" dr="G161" r="G156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>
        <f>H162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" sId="1" ref="A161:XFD161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3" sId="1" ref="A159:XFD159" action="insertRow"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rc rId="784" sId="1" ref="A159:XFD159" action="insert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85" sId="1" odxf="1" dxf="1">
    <nc r="A159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6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87" sId="1" odxf="1" dxf="1">
    <nc r="B159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>
    <nc r="B160" t="inlineStr">
      <is>
        <t>10101 74650</t>
      </is>
    </nc>
  </rcc>
  <rcc rId="789" sId="1">
    <nc r="C160" t="inlineStr">
      <is>
        <t>611</t>
      </is>
    </nc>
  </rcc>
  <rcc rId="790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1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" sId="1">
    <nc r="E160" t="inlineStr">
      <is>
        <t>07</t>
      </is>
    </nc>
  </rcc>
  <rcc rId="793" sId="1">
    <nc r="F160" t="inlineStr">
      <is>
        <t>01</t>
      </is>
    </nc>
  </rcc>
  <rcc rId="794" sId="1">
    <nc r="D160" t="inlineStr">
      <is>
        <t>969</t>
      </is>
    </nc>
  </rcc>
  <rcc rId="795" sId="1">
    <nc r="D159" t="inlineStr">
      <is>
        <t>969</t>
      </is>
    </nc>
  </rcc>
  <rcc rId="796" sId="1" odxf="1" dxf="1">
    <nc r="G159">
      <f>G160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7" sId="1" odxf="1" dxf="1">
    <nc r="H159">
      <f>H160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8" sId="1">
    <nc r="G160">
      <f>563</f>
    </nc>
  </rcc>
  <rcc rId="799" sId="1" numFmtId="4">
    <nc r="H160">
      <v>563</v>
    </nc>
  </rcc>
  <rcc rId="800" sId="1">
    <oc r="G156">
      <f>G157+G159+#REF!</f>
    </oc>
    <nc r="G156">
      <f>G157+G161+G159</f>
    </nc>
  </rcc>
  <rcc rId="801" sId="1">
    <oc r="H156">
      <f>H157+H159+#REF!</f>
    </oc>
    <nc r="H156">
      <f>H157+H161+H159</f>
    </nc>
  </rcc>
  <rrc rId="802" sId="1" ref="A165:XFD165" action="deleteRow">
    <undo index="0" exp="ref" v="1" dr="H165" r="H164" sId="1"/>
    <undo index="0" exp="ref" v="1" dr="G165" r="G164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" sId="1" ref="A165:XFD165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4" sId="1">
    <oc r="G164">
      <f>#REF!+G165+G167+G169+G171+G173+G175+G177+G179+G181+G183</f>
    </oc>
    <nc r="G164">
      <f>G165+G167+G169+G171+G173+G175+G177+G179+G181+G183</f>
    </nc>
  </rcc>
  <rcc rId="805" sId="1">
    <oc r="H164">
      <f>#REF!+H165+H167+H169+H171+H173+H175+H177+H179+H181+H183</f>
    </oc>
    <nc r="H164">
      <f>H165+H167+H169+H171+H173+H175+H177+H179+H181+H183</f>
    </nc>
  </rcc>
  <rcc rId="806" sId="1" odxf="1" dxf="1" numFmtId="4">
    <nc r="G166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7" sId="1" odxf="1" dxf="1" numFmtId="4">
    <nc r="H166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8" sId="1" odxf="1" dxf="1" numFmtId="4">
    <nc r="G168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9" sId="1" odxf="1" dxf="1" numFmtId="4">
    <nc r="H168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0" sId="1" odxf="1" dxf="1" numFmtId="4">
    <nc r="G172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1" sId="1" odxf="1" dxf="1" numFmtId="4">
    <nc r="H172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2" sId="1" odxf="1" dxf="1">
    <nc r="G184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3" sId="1" odxf="1" dxf="1">
    <nc r="H184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4" sId="1" odxf="1" dxf="1">
    <nc r="G176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5" sId="1" odxf="1" dxf="1">
    <nc r="H176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6" sId="1" odxf="1" dxf="1">
    <nc r="G180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7" sId="1" odxf="1" dxf="1">
    <nc r="H180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8" sId="1" odxf="1" dxf="1" numFmtId="4">
    <nc r="G187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9" sId="1" odxf="1" dxf="1" numFmtId="4">
    <nc r="H187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20" sId="1" numFmtId="4">
    <nc r="G194">
      <v>9312.7999999999993</v>
    </nc>
  </rcc>
  <rcc rId="821" sId="1" numFmtId="4">
    <nc r="H194">
      <v>9312.7999999999993</v>
    </nc>
  </rcc>
  <rcc rId="822" sId="1" numFmtId="4">
    <nc r="G195">
      <v>33017</v>
    </nc>
  </rcc>
  <rcc rId="823" sId="1" numFmtId="4">
    <nc r="H195">
      <v>33017</v>
    </nc>
  </rcc>
  <rcc rId="824" sId="1" odxf="1" dxf="1" numFmtId="4">
    <nc r="G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5" sId="1" odxf="1" dxf="1" numFmtId="4">
    <nc r="H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6" sId="1" odxf="1" dxf="1" numFmtId="4">
    <nc r="G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27" sId="1" odxf="1" dxf="1" numFmtId="4">
    <nc r="H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28" sId="1" ref="A205:XFD205" action="deleteRow">
    <undo index="65535" exp="ref" v="1" dr="H205" r="H203" sId="1"/>
    <undo index="65535" exp="ref" v="1" dr="G205" r="G203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rfmt sheetId="1" xfDxf="1" sqref="A205:XFD205" start="0" length="0">
      <dxf>
        <font>
          <i/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0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9" sId="1">
    <oc r="G203">
      <f>G204+#REF!</f>
    </oc>
    <nc r="G203">
      <f>G204</f>
    </nc>
  </rcc>
  <rcc rId="830" sId="1">
    <oc r="H203">
      <f>H204+#REF!</f>
    </oc>
    <nc r="H203">
      <f>H204</f>
    </nc>
  </rcc>
  <rcc rId="831" sId="1" odxf="1" dxf="1" numFmtId="4">
    <nc r="G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 numFmtId="4">
    <nc r="H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3" sId="1" odxf="1" dxf="1" numFmtId="4">
    <nc r="G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4" sId="1" odxf="1" dxf="1" numFmtId="4">
    <nc r="H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5" sId="1" odxf="1" dxf="1" numFmtId="4">
    <nc r="G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6" sId="1" odxf="1" dxf="1" numFmtId="4">
    <nc r="H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7" sId="1" odxf="1" dxf="1" numFmtId="4">
    <nc r="G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8" sId="1" odxf="1" dxf="1" numFmtId="4">
    <nc r="H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9" sId="1" odxf="1" dxf="1" numFmtId="4">
    <nc r="G214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40" sId="1" odxf="1" dxf="1" numFmtId="4">
    <nc r="H214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228:H229" start="0" length="2147483647">
    <dxf>
      <font>
        <i val="0"/>
      </font>
    </dxf>
  </rfmt>
  <rfmt sheetId="1" sqref="A228:H229" start="0" length="2147483647">
    <dxf>
      <font>
        <i/>
      </font>
    </dxf>
  </rfmt>
  <rcc rId="841" sId="1">
    <oc r="A23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35" t="inlineStr">
      <is>
        <t>На дорожную деятельность в отношении автомобильных дорог общего пользования местного значения</t>
      </is>
    </nc>
  </rcc>
  <rcc rId="842" sId="1" odxf="1" dxf="1">
    <oc r="A23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3" sId="1" odxf="1" dxf="1">
    <oc r="A23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37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844" sId="1" odxf="1" dxf="1">
    <oc r="A23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8" t="inlineStr">
      <is>
        <t>Закупка энергетических ресурсов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5" sId="1" odxf="1" dxf="1">
    <oc r="A239" t="inlineStr">
      <is>
        <t>Содержание автомобильных дорог общего пользования местного значения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b/>
        <i/>
        <name val="Times New Roman"/>
        <family val="1"/>
      </font>
      <alignment vertical="top"/>
    </odxf>
    <ndxf>
      <font>
        <b val="0"/>
        <i val="0"/>
        <name val="Times New Roman"/>
        <family val="1"/>
      </font>
      <alignment vertical="center"/>
    </ndxf>
  </rcc>
  <rcc rId="846" sId="1" odxf="1" dxf="1">
    <oc r="A240" t="inlineStr">
      <is>
        <t>Иные межбюджетные трансферты</t>
      </is>
    </oc>
    <nc r="A24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847" sId="1">
    <oc r="A24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1" t="inlineStr">
      <is>
        <t>Субсидии автономным учреждениям на иные цели</t>
      </is>
    </nc>
  </rcc>
  <rcc rId="848" sId="1" odxf="1" dxf="1">
    <oc r="C236" t="inlineStr">
      <is>
        <t>621</t>
      </is>
    </oc>
    <nc r="C23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9" sId="1" odxf="1" dxf="1">
    <oc r="B237" t="inlineStr">
      <is>
        <t>11001 S23Д0</t>
      </is>
    </oc>
    <nc r="B237" t="inlineStr">
      <is>
        <t>11001 82200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237" start="0" length="0">
    <dxf>
      <fill>
        <patternFill patternType="none">
          <bgColor indexed="65"/>
        </patternFill>
      </fill>
    </dxf>
  </rfmt>
  <rcc rId="850" sId="1" odxf="1" dxf="1">
    <oc r="B238" t="inlineStr">
      <is>
        <t>11001 S23Д0</t>
      </is>
    </oc>
    <nc r="B23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51" sId="1" odxf="1" dxf="1">
    <oc r="C238" t="inlineStr">
      <is>
        <t>621</t>
      </is>
    </oc>
    <nc r="C238" t="inlineStr">
      <is>
        <t>247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B239" start="0" length="0">
    <dxf>
      <font>
        <b val="0"/>
        <i val="0"/>
        <name val="Times New Roman"/>
        <family val="1"/>
      </font>
    </dxf>
  </rfmt>
  <rcc rId="852" sId="1" odxf="1" dxf="1">
    <nc r="C239" t="inlineStr">
      <is>
        <t>621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53" sId="1" odxf="1" dxf="1">
    <oc r="B240" t="inlineStr">
      <is>
        <t>11001 82200</t>
      </is>
    </oc>
    <nc r="B240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4" sId="1" odxf="1" dxf="1">
    <oc r="C240" t="inlineStr">
      <is>
        <t>540</t>
      </is>
    </oc>
    <nc r="C24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5" sId="1" odxf="1" dxf="1">
    <oc r="B241" t="inlineStr">
      <is>
        <t>11001 82200</t>
      </is>
    </oc>
    <nc r="B24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6" sId="1">
    <oc r="C241" t="inlineStr">
      <is>
        <t>621</t>
      </is>
    </oc>
    <nc r="C241" t="inlineStr">
      <is>
        <t>622</t>
      </is>
    </nc>
  </rcc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ill>
        <patternFill patternType="none">
          <bgColor indexed="65"/>
        </patternFill>
      </fill>
    </dxf>
  </rfmt>
  <rfmt sheetId="1" sqref="F238" start="0" length="0">
    <dxf>
      <fill>
        <patternFill patternType="none">
          <bgColor indexed="65"/>
        </patternFill>
      </fill>
    </dxf>
  </rfmt>
  <rfmt sheetId="1" sqref="E239" start="0" length="0">
    <dxf>
      <font>
        <b val="0"/>
        <i val="0"/>
        <name val="Times New Roman"/>
        <family val="1"/>
      </font>
    </dxf>
  </rfmt>
  <rfmt sheetId="1" sqref="F239" start="0" length="0">
    <dxf>
      <font>
        <b val="0"/>
        <i val="0"/>
        <name val="Times New Roman"/>
        <family val="1"/>
      </font>
    </dxf>
  </rfmt>
  <rfmt sheetId="1" sqref="E240" start="0" length="0">
    <dxf>
      <font>
        <i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D237" start="0" length="2147483647">
    <dxf>
      <font>
        <i/>
      </font>
    </dxf>
  </rfmt>
  <rfmt sheetId="1" sqref="D239" start="0" length="2147483647">
    <dxf>
      <font>
        <b val="0"/>
      </font>
    </dxf>
  </rfmt>
  <rcc rId="857" sId="1">
    <oc r="G234">
      <f>G239+G235+G242+G237</f>
    </oc>
    <nc r="G234">
      <f>G237+G235+G240</f>
    </nc>
  </rcc>
  <rcc rId="858" sId="1">
    <oc r="H234">
      <f>H239+H235+H242+H237</f>
    </oc>
    <nc r="H234">
      <f>H237+H235+H240</f>
    </nc>
  </rcc>
  <rcc rId="859" sId="1" odxf="1" dxf="1">
    <oc r="G235">
      <f>G236</f>
    </oc>
    <nc r="G235">
      <f>G236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0" sId="1">
    <oc r="H235">
      <f>H236</f>
    </oc>
    <nc r="H235">
      <f>H236</f>
    </nc>
  </rcc>
  <rcc rId="861" sId="1">
    <nc r="G236">
      <f>100713.9</f>
    </nc>
  </rcc>
  <rcc rId="862" sId="1" numFmtId="4">
    <nc r="H236">
      <v>50713.9</v>
    </nc>
  </rcc>
  <rcc rId="863" sId="1" odxf="1" dxf="1">
    <oc r="G237">
      <f>G238</f>
    </oc>
    <nc r="G237">
      <f>SUM(G238:G239)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1" odxf="1" dxf="1">
    <oc r="H237">
      <f>H238</f>
    </oc>
    <nc r="H237">
      <f>SUM(H238:H239)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5" sId="1">
    <nc r="G238">
      <f>590</f>
    </nc>
  </rcc>
  <rcc rId="866" sId="1">
    <nc r="H238">
      <f>590</f>
    </nc>
  </rcc>
  <rcc rId="867" sId="1" odxf="1" dxf="1">
    <oc r="G239">
      <f>G240+G241</f>
    </oc>
    <nc r="G239">
      <f>16733.39-590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8" sId="1" odxf="1" dxf="1">
    <oc r="H239">
      <f>H240+H241</f>
    </oc>
    <nc r="H239">
      <f>17764.55-590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9" sId="1" odxf="1" dxf="1" numFmtId="4">
    <oc r="G240">
      <v>0</v>
    </oc>
    <nc r="G240">
      <f>G241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0" sId="1" odxf="1" dxf="1" numFmtId="4">
    <oc r="H240">
      <v>0</v>
    </oc>
    <nc r="H240">
      <f>H241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1" sId="1" odxf="1" dxf="1" numFmtId="4">
    <nc r="G241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2" sId="1" odxf="1" dxf="1" numFmtId="4">
    <nc r="H241">
      <v>100000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3" sId="1" ref="A242:XFD242" action="deleteRow"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>
        <f>H243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4" sId="1" ref="A242:XFD242" action="delete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2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75" sId="1">
    <nc r="G266">
      <f>15755.6+315.1</f>
    </nc>
  </rcc>
  <rcc rId="876" sId="1" numFmtId="4">
    <nc r="H266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7" sId="1" ref="A58:XFD58" action="insertRow">
    <undo index="65535" exp="area" ref3D="1" dr="$A$249:$XFD$254" dn="Z_DD9A8EC0_978F_40DB_8504_69866F97ABC3_.wvu.Rows" sId="1"/>
    <undo index="65535" exp="area" ref3D="1" dr="$A$243:$XFD$245" dn="Z_DD9A8EC0_978F_40DB_8504_69866F97ABC3_.wvu.Rows" sId="1"/>
    <undo index="65535" exp="area" ref3D="1" dr="$A$240:$XFD$240" dn="Z_DD9A8EC0_978F_40DB_8504_69866F97ABC3_.wvu.Rows" sId="1"/>
    <undo index="1" exp="area" ref3D="1" dr="$A$196:$XFD$198" dn="Z_DD9A8EC0_978F_40DB_8504_69866F97ABC3_.wvu.Rows" sId="1"/>
    <undo index="65535" exp="area" ref3D="1" dr="$A$249:$XFD$254" dn="Z_C050815F_608D_4696_BF1D_66B69F749BD0_.wvu.Rows" sId="1"/>
    <undo index="65535" exp="area" ref3D="1" dr="$A$243:$XFD$245" dn="Z_C050815F_608D_4696_BF1D_66B69F749BD0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undo index="65535" exp="area" ref3D="1" dr="$A$249:$XFD$254" dn="Z_63C81512_0323_449A_8D16_969602EE6D8D_.wvu.Rows" sId="1"/>
    <undo index="65535" exp="area" ref3D="1" dr="$A$243:$XFD$245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111:$XFD$111" dn="Z_63C81512_0323_449A_8D16_969602EE6D8D_.wvu.Rows" sId="1"/>
    <undo index="65535" exp="area" ref3D="1" dr="$A$104:$XFD$104" dn="Z_63C81512_0323_449A_8D16_969602EE6D8D_.wvu.Rows" sId="1"/>
  </rrc>
  <rrc rId="878" sId="1" ref="A58:XFD58" action="insert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41:$XFD$241" dn="Z_DD9A8EC0_978F_40DB_8504_69866F97ABC3_.wvu.Rows" sId="1"/>
    <undo index="1" exp="area" ref3D="1" dr="$A$197:$XFD$199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</rrc>
  <rfmt sheetId="1" sqref="A60:H60" start="0" length="2147483647">
    <dxf>
      <font>
        <i/>
      </font>
    </dxf>
  </rfmt>
  <rcc rId="879" sId="1" odxf="1" dxf="1">
    <nc r="A58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880" sId="1" odxf="1" dxf="1">
    <nc r="A59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881" sId="1">
    <nc r="B58" t="inlineStr">
      <is>
        <t>04201 L5110</t>
      </is>
    </nc>
  </rcc>
  <rcc rId="882" sId="1" odxf="1" dxf="1">
    <nc r="B59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83" sId="1" odxf="1" dxf="1">
    <nc r="C5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4" sId="1">
    <nc r="G58">
      <f>G59</f>
    </nc>
  </rcc>
  <rcc rId="885" sId="1">
    <nc r="H58">
      <f>H59</f>
    </nc>
  </rcc>
  <rcc rId="886" sId="1" odxf="1" dxf="1" numFmtId="4">
    <nc r="G5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7" sId="1" odxf="1" dxf="1">
    <nc r="H59">
      <f>608+38.8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8" sId="1">
    <nc r="D58" t="inlineStr">
      <is>
        <t>971</t>
      </is>
    </nc>
  </rcc>
  <rcc rId="889" sId="1">
    <nc r="E58" t="inlineStr">
      <is>
        <t>04</t>
      </is>
    </nc>
  </rcc>
  <rcc rId="890" sId="1">
    <nc r="F58" t="inlineStr">
      <is>
        <t>12</t>
      </is>
    </nc>
  </rcc>
  <rcc rId="891" sId="1" odxf="1" dxf="1">
    <nc r="D59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2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3" sId="1" odxf="1" dxf="1">
    <nc r="F59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4" sId="1">
    <oc r="G56">
      <f>G57</f>
    </oc>
    <nc r="G56">
      <f>G57</f>
    </nc>
  </rcc>
  <rcc rId="895" sId="1">
    <oc r="G57">
      <f>G60</f>
    </oc>
    <nc r="G57">
      <f>G58+G60</f>
    </nc>
  </rcc>
  <rcc rId="896" sId="1">
    <oc r="H57">
      <f>H60</f>
    </oc>
    <nc r="H57">
      <f>H58+H60</f>
    </nc>
  </rcc>
  <rcc rId="897" sId="1" numFmtId="4">
    <oc r="G275">
      <v>1090541.8065200001</v>
    </oc>
    <nc r="G275">
      <v>793384.19</v>
    </nc>
  </rcc>
  <rcc rId="898" sId="1" numFmtId="4">
    <nc r="G180">
      <v>386</v>
    </nc>
  </rcc>
  <rcc rId="899" sId="1" numFmtId="4">
    <nc r="H180">
      <v>386</v>
    </nc>
  </rcc>
  <rcc rId="900" sId="1">
    <nc r="G185">
      <f>G186</f>
    </nc>
  </rcc>
  <rcc rId="901" sId="1">
    <nc r="H185">
      <f>H186</f>
    </nc>
  </rcc>
  <rdn rId="0" localSheetId="1" customView="1" name="Z_DD9A8EC0_978F_40DB_8504_69866F97ABC3_.wvu.Rows" hidden="1" oldHidden="1">
    <oldFormula>Мун.программы!$198:$200,Мун.программы!$242:$242,Мун.программы!$245:$247,Мун.программы!$251:$256</oldFormula>
  </rdn>
  <rcv guid="{DD9A8EC0-978F-40DB-8504-69866F97ABC3}" action="delete"/>
  <rdn rId="0" localSheetId="1" customView="1" name="Z_DD9A8EC0_978F_40DB_8504_69866F97ABC3_.wvu.PrintArea" hidden="1" oldHidden="1">
    <formula>Мун.программы!$A$4:$H$273</formula>
    <oldFormula>Мун.программы!$A$4:$H$273</oldFormula>
  </rdn>
  <rdn rId="0" localSheetId="1" customView="1" name="Z_DD9A8EC0_978F_40DB_8504_69866F97ABC3_.wvu.FilterData" hidden="1" oldHidden="1">
    <formula>Мун.программы!$A$20:$Q$409</formula>
    <oldFormula>Мун.программы!$A$20:$Q$409</oldFormula>
  </rdn>
  <rcv guid="{DD9A8EC0-978F-40DB-8504-69866F97ABC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5" sId="1" numFmtId="4">
    <oc r="H275">
      <v>1152474.30082</v>
    </oc>
    <nc r="H275">
      <v>832964.45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6" sId="1">
    <nc r="G279">
      <f>1145762.85-78614.2</f>
    </nc>
  </rcc>
  <rcc rId="907" sId="1">
    <nc r="H279">
      <f>1183146.81-78613</f>
    </nc>
  </rcc>
  <rcc rId="908" sId="1">
    <nc r="G281">
      <f>G273-G279</f>
    </nc>
  </rcc>
  <rcc rId="909" sId="1">
    <nc r="H281">
      <f>H273-H279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nc r="G272">
      <v>1000</v>
    </nc>
  </rcc>
  <rcc rId="911" sId="1" numFmtId="4">
    <nc r="H272">
      <v>1000</v>
    </nc>
  </rcc>
  <rcc rId="912" sId="1">
    <oc r="G268">
      <f>15755.6+315.1</f>
    </oc>
    <nc r="G268">
      <f>15755.6+315.1+16</f>
    </nc>
  </rcc>
  <rcc rId="913" sId="1" numFmtId="4">
    <nc r="G264">
      <v>200</v>
    </nc>
  </rcc>
  <rcc rId="914" sId="1" numFmtId="4">
    <nc r="H264">
      <v>200</v>
    </nc>
  </rcc>
  <rcc rId="915" sId="1" numFmtId="4">
    <nc r="G260">
      <v>180</v>
    </nc>
  </rcc>
  <rcc rId="916" sId="1" numFmtId="4">
    <nc r="H260">
      <v>180</v>
    </nc>
  </rcc>
  <rcc rId="917" sId="1" numFmtId="4">
    <nc r="G250">
      <v>151</v>
    </nc>
  </rcc>
  <rcc rId="918" sId="1" numFmtId="4">
    <nc r="H250">
      <v>151</v>
    </nc>
  </rcc>
  <rrc rId="919" sId="1" ref="A245:XFD245" action="deleteRow">
    <undo index="0" exp="ref" v="1" dr="H245" r="H244" sId="1"/>
    <undo index="0" exp="ref" v="1" dr="G245" r="G244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Основное мероприятие «Чевствование юбиляров и долгожителей района»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0" sId="1" ref="A245:XFD245" action="deleteRow">
    <undo index="65535" exp="area" ref3D="1" dr="$A$250:$XFD$255" dn="Z_63C81512_0323_449A_8D16_969602EE6D8D_.wvu.Rows" sId="1"/>
    <undo index="65535" exp="area" ref3D="1" dr="$A$245:$XFD$246" dn="Z_63C81512_0323_449A_8D16_969602EE6D8D_.wvu.Rows" sId="1"/>
    <undo index="65535" exp="area" ref3D="1" dr="$A$250:$XFD$255" dn="Z_C050815F_608D_4696_BF1D_66B69F749BD0_.wvu.Rows" sId="1"/>
    <undo index="65535" exp="area" ref3D="1" dr="$A$245:$XFD$246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45:XFD245" action="deleteRow">
    <undo index="65535" exp="area" ref3D="1" dr="$A$249:$XFD$254" dn="Z_63C81512_0323_449A_8D16_969602EE6D8D_.wvu.Rows" sId="1"/>
    <undo index="65535" exp="area" ref3D="1" dr="$A$245:$XFD$245" dn="Z_63C81512_0323_449A_8D16_969602EE6D8D_.wvu.Rows" sId="1"/>
    <undo index="65535" exp="area" ref3D="1" dr="$A$249:$XFD$254" dn="Z_C050815F_608D_4696_BF1D_66B69F749BD0_.wvu.Rows" sId="1"/>
    <undo index="65535" exp="area" ref3D="1" dr="$A$245:$XFD$245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2" sId="1" ref="A248:XFD248" action="deleteRow">
    <undo index="65535" exp="ref" v="1" dr="H248" r="H244" sId="1"/>
    <undo index="65535" exp="ref" v="1" dr="G248" r="G244" sId="1"/>
    <undo index="65535" exp="area" ref3D="1" dr="$A$248:$XFD$253" dn="Z_63C81512_0323_449A_8D16_969602EE6D8D_.wvu.Rows" sId="1"/>
    <undo index="65535" exp="area" ref3D="1" dr="$A$248:$XFD$253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пожилого человека»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48:XFD248" action="deleteRow">
    <undo index="65535" exp="area" ref3D="1" dr="$A$248:$XFD$252" dn="Z_63C81512_0323_449A_8D16_969602EE6D8D_.wvu.Rows" sId="1"/>
    <undo index="65535" exp="area" ref3D="1" dr="$A$248:$XFD$252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4" sId="1" ref="A248:XFD248" action="deleteRow">
    <undo index="65535" exp="area" ref3D="1" dr="$A$248:$XFD$251" dn="Z_63C81512_0323_449A_8D16_969602EE6D8D_.wvu.Rows" sId="1"/>
    <undo index="65535" exp="area" ref3D="1" dr="$A$248:$XFD$251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48:XFD248" action="deleteRow">
    <undo index="65535" exp="ref" v="1" dr="H248" r="H244" sId="1"/>
    <undo index="65535" exp="ref" v="1" dr="G248" r="G244" sId="1"/>
    <undo index="65535" exp="area" ref3D="1" dr="$A$248:$XFD$250" dn="Z_63C81512_0323_449A_8D16_969602EE6D8D_.wvu.Rows" sId="1"/>
    <undo index="65535" exp="area" ref3D="1" dr="$A$248:$XFD$250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6" sId="1" ref="A248:XFD248" action="deleteRow">
    <undo index="65535" exp="area" ref3D="1" dr="$A$248:$XFD$249" dn="Z_63C81512_0323_449A_8D16_969602EE6D8D_.wvu.Rows" sId="1"/>
    <undo index="65535" exp="area" ref3D="1" dr="$A$248:$XFD$249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48:XFD248" action="deleteRow">
    <undo index="65535" exp="area" ref3D="1" dr="$A$248:$XFD$248" dn="Z_63C81512_0323_449A_8D16_969602EE6D8D_.wvu.Rows" sId="1"/>
    <undo index="65535" exp="area" ref3D="1" dr="$A$248:$XFD$248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8" sId="1">
    <oc r="G244">
      <f>#REF!+G245+#REF!+#REF!</f>
    </oc>
    <nc r="G244">
      <f>G245</f>
    </nc>
  </rcc>
  <rcc rId="929" sId="1">
    <oc r="H244">
      <f>#REF!+H245+#REF!+#REF!</f>
    </oc>
    <nc r="H244">
      <f>H245</f>
    </nc>
  </rcc>
  <rcc rId="930" sId="1" numFmtId="4">
    <nc r="G30">
      <v>50</v>
    </nc>
  </rcc>
  <rcc rId="931" sId="1" numFmtId="4">
    <nc r="H30">
      <v>50</v>
    </nc>
  </rcc>
  <rcc rId="932" sId="1" numFmtId="4">
    <nc r="G24">
      <v>50</v>
    </nc>
  </rcc>
  <rcc rId="933" sId="1" numFmtId="4">
    <nc r="H24">
      <v>50</v>
    </nc>
  </rcc>
  <rcc rId="934" sId="1">
    <oc r="G27">
      <f>208</f>
    </oc>
    <nc r="G27">
      <f>208+208</f>
    </nc>
  </rcc>
  <rcc rId="935" sId="1">
    <oc r="H27">
      <f>208</f>
    </oc>
    <nc r="H27">
      <f>208+208</f>
    </nc>
  </rcc>
  <rcc rId="936" sId="1" numFmtId="4">
    <nc r="G35">
      <v>4920.6000000000004</v>
    </nc>
  </rcc>
  <rcc rId="937" sId="1" numFmtId="4">
    <nc r="H35">
      <v>4920.6000000000004</v>
    </nc>
  </rcc>
  <rcc rId="938" sId="1" numFmtId="4">
    <nc r="G36">
      <v>1486</v>
    </nc>
  </rcc>
  <rcc rId="939" sId="1" numFmtId="4">
    <nc r="H36">
      <v>1486</v>
    </nc>
  </rcc>
  <rcc rId="940" sId="1" numFmtId="4">
    <nc r="G46">
      <v>300</v>
    </nc>
  </rcc>
  <rcc rId="941" sId="1" numFmtId="4">
    <nc r="H46">
      <v>300</v>
    </nc>
  </rcc>
  <rcc rId="942" sId="1" numFmtId="4">
    <nc r="G51">
      <v>4289.7</v>
    </nc>
  </rcc>
  <rcc rId="943" sId="1" numFmtId="4">
    <nc r="H51">
      <v>4289.7</v>
    </nc>
  </rcc>
  <rcc rId="944" sId="1" numFmtId="4">
    <nc r="G52">
      <v>1295.5</v>
    </nc>
  </rcc>
  <rcc rId="945" sId="1" numFmtId="4">
    <nc r="H52">
      <v>1295.5</v>
    </nc>
  </rcc>
  <rcc rId="946" sId="1" numFmtId="4">
    <nc r="G55">
      <v>350</v>
    </nc>
  </rcc>
  <rcc rId="947" sId="1" numFmtId="4">
    <nc r="H55">
      <v>350</v>
    </nc>
  </rcc>
  <rcc rId="948" sId="1">
    <oc r="H59">
      <f>608+38.8</f>
    </oc>
    <nc r="H59">
      <f>608+38.8+32.3</f>
    </nc>
  </rcc>
  <rcc rId="949" sId="1">
    <oc r="G61">
      <f>120</f>
    </oc>
    <nc r="G61">
      <f>120+30</f>
    </nc>
  </rcc>
  <rcc rId="950" sId="1">
    <oc r="H61">
      <f>120</f>
    </oc>
    <nc r="H61">
      <f>120+30</f>
    </nc>
  </rcc>
  <rcc rId="951" sId="1" numFmtId="4">
    <nc r="G65">
      <v>105</v>
    </nc>
  </rcc>
  <rcc rId="952" sId="1" numFmtId="4">
    <nc r="H65">
      <v>105</v>
    </nc>
  </rcc>
  <rcc rId="953" sId="1" numFmtId="4">
    <nc r="G69">
      <v>100</v>
    </nc>
  </rcc>
  <rcc rId="954" sId="1" numFmtId="4">
    <nc r="H69">
      <v>100</v>
    </nc>
  </rcc>
  <rcc rId="955" sId="1" numFmtId="4">
    <nc r="G74">
      <v>30</v>
    </nc>
  </rcc>
  <rcc rId="956" sId="1" numFmtId="4">
    <nc r="H74">
      <v>30</v>
    </nc>
  </rcc>
  <rcc rId="957" sId="1" numFmtId="4">
    <nc r="G78">
      <v>430</v>
    </nc>
  </rcc>
  <rcc rId="958" sId="1" numFmtId="4">
    <nc r="H78">
      <v>430</v>
    </nc>
  </rcc>
  <rcc rId="959" sId="1" numFmtId="4">
    <nc r="G82">
      <v>181</v>
    </nc>
  </rcc>
  <rcc rId="960" sId="1" numFmtId="4">
    <nc r="H82">
      <v>181</v>
    </nc>
  </rcc>
  <rcc rId="961" sId="1">
    <nc r="G89">
      <f>8104.9+183.2</f>
    </nc>
  </rcc>
  <rcc rId="962" sId="1">
    <nc r="H89">
      <f>8104.9+183.2</f>
    </nc>
  </rcc>
  <rcc rId="963" sId="1">
    <nc r="G95">
      <f>13094.4+750.9</f>
    </nc>
  </rcc>
  <rcc rId="964" sId="1">
    <nc r="H95">
      <f>17459.2</f>
    </nc>
  </rcc>
  <rcc rId="965" sId="1">
    <nc r="G101">
      <f>11696.3+550.8</f>
    </nc>
  </rcc>
  <rcc rId="966" sId="1">
    <nc r="H101">
      <f>11696.3+550.8</f>
    </nc>
  </rcc>
  <rcc rId="967" sId="1" numFmtId="4">
    <oc r="G105">
      <v>0</v>
    </oc>
    <nc r="G105">
      <v>150</v>
    </nc>
  </rcc>
  <rcc rId="968" sId="1" numFmtId="4">
    <oc r="H105">
      <v>0</v>
    </oc>
    <nc r="H105">
      <v>150</v>
    </nc>
  </rcc>
  <rrc rId="969" sId="1" ref="A106:XFD106" action="deleteRow">
    <undo index="65535" exp="area" dr="H105:H106" r="H104" sId="1"/>
    <undo index="65535" exp="area" dr="G105:G106" r="G104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65535" exp="area" ref3D="1" dr="$A$242:$XFD$242" dn="Z_C050815F_608D_4696_BF1D_66B69F749BD0_.wvu.Rows" sId="1"/>
    <undo index="1" exp="area" ref3D="1" dr="$A$198:$XFD$200" dn="Z_C050815F_608D_4696_BF1D_66B69F749BD0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Премии и гранты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0" sId="1" numFmtId="4">
    <nc r="G108">
      <v>639.79999999999995</v>
    </nc>
  </rcc>
  <rcc rId="971" sId="1" numFmtId="4">
    <nc r="H108">
      <v>639.79999999999995</v>
    </nc>
  </rcc>
  <rcc rId="972" sId="1" numFmtId="4">
    <nc r="G109">
      <v>193.2</v>
    </nc>
  </rcc>
  <rcc rId="973" sId="1" numFmtId="4">
    <nc r="H109">
      <v>193.2</v>
    </nc>
  </rcc>
  <rrc rId="974" sId="1" ref="A112:XFD112" action="deleteRow"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75" sId="1" ref="A113:XFD113" action="deleteRow"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rfmt sheetId="1" xfDxf="1" sqref="A113:XFD113" start="0" length="0">
      <dxf>
        <font>
          <b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работ, услуг в сфере информационно-коммуникационных технологий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" sId="1">
    <oc r="C113" t="inlineStr">
      <is>
        <t>244</t>
      </is>
    </oc>
    <nc r="C113" t="inlineStr">
      <is>
        <t>852</t>
      </is>
    </nc>
  </rcc>
  <rcc rId="977" sId="1" numFmtId="4">
    <nc r="G111">
      <v>6828.8</v>
    </nc>
  </rcc>
  <rcc rId="978" sId="1" numFmtId="4">
    <nc r="H111">
      <v>6828.8</v>
    </nc>
  </rcc>
  <rcc rId="979" sId="1" numFmtId="4">
    <nc r="G112">
      <v>2062.3000000000002</v>
    </nc>
  </rcc>
  <rcc rId="980" sId="1" numFmtId="4">
    <nc r="H112">
      <v>2062.3000000000002</v>
    </nc>
  </rcc>
  <rcc rId="981" sId="1" odxf="1" dxf="1" numFmtId="4">
    <oc r="G113">
      <v>0</v>
    </oc>
    <nc r="G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2" sId="1" odxf="1" dxf="1" numFmtId="4">
    <oc r="H113">
      <v>0</v>
    </oc>
    <nc r="H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3" sId="1">
    <oc r="A113" t="inlineStr">
      <is>
        <t>Прочая закупка товаров, работ и услуг для обеспечения государственных (муниципальных) нужд</t>
      </is>
    </oc>
    <nc r="A113" t="inlineStr">
      <is>
        <t xml:space="preserve">Уплата прочих налогов, сборов </t>
      </is>
    </nc>
  </rcc>
  <rcc rId="984" sId="1">
    <oc r="G110">
      <f>SUM(G111:G113)</f>
    </oc>
    <nc r="G110">
      <f>SUM(G111:G113)</f>
    </nc>
  </rcc>
  <rcc rId="985" sId="1" numFmtId="4">
    <oc r="G118">
      <v>0</v>
    </oc>
    <nc r="G118">
      <v>150</v>
    </nc>
  </rcc>
  <rcc rId="986" sId="1" numFmtId="4">
    <oc r="H118">
      <v>0</v>
    </oc>
    <nc r="H118">
      <v>150</v>
    </nc>
  </rcc>
  <rcc rId="987" sId="1" numFmtId="4">
    <oc r="G123">
      <v>676.8</v>
    </oc>
    <nc r="G123">
      <f>676.8+1954.4</f>
    </nc>
  </rcc>
  <rcc rId="988" sId="1" numFmtId="4">
    <oc r="H123">
      <v>676.8</v>
    </oc>
    <nc r="H123">
      <f>676.8+1954.4</f>
    </nc>
  </rcc>
  <rcc rId="989" sId="1" numFmtId="4">
    <oc r="G124">
      <v>204.4</v>
    </oc>
    <nc r="G124">
      <f>204.4+590.2</f>
    </nc>
  </rcc>
  <rcc rId="990" sId="1" numFmtId="4">
    <oc r="H124">
      <v>204.4</v>
    </oc>
    <nc r="H124">
      <f>204.4+590.2</f>
    </nc>
  </rcc>
  <rcc rId="991" sId="1">
    <nc r="G128">
      <f>17788.7+1050</f>
    </nc>
  </rcc>
  <rcc rId="992" sId="1">
    <nc r="H128">
      <f>17788.7+1050</f>
    </nc>
  </rcc>
  <rcc rId="993" sId="1" numFmtId="4">
    <nc r="G134">
      <v>621.9</v>
    </nc>
  </rcc>
  <rcc rId="994" sId="1" numFmtId="4">
    <nc r="H134">
      <v>621.9</v>
    </nc>
  </rcc>
  <rcc rId="995" sId="1" numFmtId="4">
    <nc r="G135">
      <v>187.8</v>
    </nc>
  </rcc>
  <rcc rId="996" sId="1" numFmtId="4">
    <nc r="H135">
      <v>187.8</v>
    </nc>
  </rcc>
  <rrc rId="997" sId="1" ref="A138:XFD138" action="deleteRow">
    <undo index="65535" exp="area" ref3D="1" dr="$A$239:$XFD$239" dn="Z_63C81512_0323_449A_8D16_969602EE6D8D_.wvu.Rows" sId="1"/>
    <undo index="65535" exp="area" ref3D="1" dr="$A$221:$XFD$222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  <undo index="65535" exp="area" ref3D="1" dr="$A$140:$XFD$141" dn="Z_63C81512_0323_449A_8D16_969602EE6D8D_.wvu.Rows" sId="1"/>
    <undo index="65535" exp="area" ref3D="1" dr="$A$138:$XFD$138" dn="Z_63C81512_0323_449A_8D16_969602EE6D8D_.wvu.Rows" sId="1"/>
    <undo index="65535" exp="area" ref3D="1" dr="$A$239:$XFD$239" dn="Z_C050815F_608D_4696_BF1D_66B69F749BD0_.wvu.Rows" sId="1"/>
    <undo index="1" exp="area" ref3D="1" dr="$A$195:$XFD$197" dn="Z_C050815F_608D_4696_BF1D_66B69F749BD0_.wvu.Rows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" sId="1" ref="A139:XFD139" action="deleteRow">
    <undo index="65535" exp="area" ref3D="1" dr="$A$238:$XFD$238" dn="Z_63C81512_0323_449A_8D16_969602EE6D8D_.wvu.Rows" sId="1"/>
    <undo index="65535" exp="area" ref3D="1" dr="$A$220:$XFD$221" dn="Z_63C81512_0323_449A_8D16_969602EE6D8D_.wvu.Rows" sId="1"/>
    <undo index="65535" exp="area" ref3D="1" dr="$A$194:$XFD$196" dn="Z_63C81512_0323_449A_8D16_969602EE6D8D_.wvu.Rows" sId="1"/>
    <undo index="65535" exp="area" ref3D="1" dr="$A$179:$XFD$180" dn="Z_63C81512_0323_449A_8D16_969602EE6D8D_.wvu.Rows" sId="1"/>
    <undo index="65535" exp="area" ref3D="1" dr="$A$139:$XFD$140" dn="Z_63C81512_0323_449A_8D16_969602EE6D8D_.wvu.Rows" sId="1"/>
    <undo index="65535" exp="area" ref3D="1" dr="$A$238:$XFD$238" dn="Z_C050815F_608D_4696_BF1D_66B69F749BD0_.wvu.Rows" sId="1"/>
    <undo index="1" exp="area" ref3D="1" dr="$A$194:$XFD$196" dn="Z_C050815F_608D_4696_BF1D_66B69F749BD0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Закупка товаров, работ и услуг в сфере информационно-коммуникационных технологий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" sId="1">
    <oc r="C139" t="inlineStr">
      <is>
        <t>244</t>
      </is>
    </oc>
    <nc r="C139" t="inlineStr">
      <is>
        <t>852</t>
      </is>
    </nc>
  </rcc>
  <rcc rId="1000" sId="1" numFmtId="4">
    <nc r="G137">
      <v>1847.2</v>
    </nc>
  </rcc>
  <rcc rId="1001" sId="1" numFmtId="4">
    <nc r="H137">
      <v>1847.2</v>
    </nc>
  </rcc>
  <rcc rId="1002" sId="1" numFmtId="4">
    <nc r="G138">
      <v>1492.1</v>
    </nc>
  </rcc>
  <rcc rId="1003" sId="1" numFmtId="4">
    <nc r="H138">
      <v>1492.1</v>
    </nc>
  </rcc>
  <rcc rId="1004" sId="1" odxf="1" dxf="1" numFmtId="4">
    <oc r="G139">
      <v>0</v>
    </oc>
    <nc r="G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5" sId="1" odxf="1" dxf="1" numFmtId="4">
    <oc r="H139">
      <v>0</v>
    </oc>
    <nc r="H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6" sId="1">
    <oc r="A139" t="inlineStr">
      <is>
        <t>Прочие закупки товаров, работ и услуг для государственных (муниципальных) нужд</t>
      </is>
    </oc>
    <nc r="A139" t="inlineStr">
      <is>
        <t xml:space="preserve">Уплата прочих налогов, сборов </t>
      </is>
    </nc>
  </rcc>
  <rcc rId="1007" sId="1" numFmtId="4">
    <oc r="G146">
      <v>1746.2</v>
    </oc>
    <nc r="G146">
      <f>1746.2+350</f>
    </nc>
  </rcc>
  <rcc rId="1008" sId="1" numFmtId="4">
    <oc r="H146">
      <v>1746.2</v>
    </oc>
    <nc r="H146">
      <f>1746.2+350</f>
    </nc>
  </rcc>
  <rcc rId="1009" sId="1">
    <nc r="G150">
      <f>1016.4+104.6</f>
    </nc>
  </rcc>
  <rcc rId="1010" sId="1">
    <nc r="H150">
      <f>1016.4+104.6</f>
    </nc>
  </rcc>
  <rcc rId="1011" sId="1">
    <nc r="G159">
      <f>71669.6+13536.3-13152.34</f>
    </nc>
  </rcc>
  <rcc rId="1012" sId="1">
    <nc r="H159">
      <f>71669.6+13536.3-18902.94</f>
    </nc>
  </rcc>
  <rcc rId="1013" sId="1" numFmtId="4">
    <nc r="G167">
      <v>32512</v>
    </nc>
  </rcc>
  <rcc rId="1014" sId="1" numFmtId="4">
    <nc r="H167">
      <v>32512</v>
    </nc>
  </rcc>
  <rcc rId="1015" sId="1" numFmtId="4">
    <oc r="G169">
      <v>28457.8</v>
    </oc>
    <nc r="G169">
      <f>28457.8+284.6</f>
    </nc>
  </rcc>
  <rcc rId="1016" sId="1" numFmtId="4">
    <oc r="H169">
      <v>28280.1</v>
    </oc>
    <nc r="H169">
      <f>28457.8+284.6</f>
    </nc>
  </rcc>
  <rrc rId="1017" sId="1" ref="A170:XFD170" action="deleteRow">
    <undo index="65535" exp="ref" v="1" dr="H170" r="H161" sId="1"/>
    <undo index="65535" exp="ref" v="1" dr="G170" r="G161" sId="1"/>
    <undo index="65535" exp="area" ref3D="1" dr="$A$237:$XFD$237" dn="Z_63C81512_0323_449A_8D16_969602EE6D8D_.wvu.Rows" sId="1"/>
    <undo index="65535" exp="area" ref3D="1" dr="$A$219:$XFD$220" dn="Z_63C81512_0323_449A_8D16_969602EE6D8D_.wvu.Rows" sId="1"/>
    <undo index="65535" exp="area" ref3D="1" dr="$A$193:$XFD$195" dn="Z_63C81512_0323_449A_8D16_969602EE6D8D_.wvu.Rows" sId="1"/>
    <undo index="65535" exp="area" ref3D="1" dr="$A$178:$XFD$179" dn="Z_63C81512_0323_449A_8D16_969602EE6D8D_.wvu.Rows" sId="1"/>
    <undo index="65535" exp="area" ref3D="1" dr="$A$237:$XFD$237" dn="Z_C050815F_608D_4696_BF1D_66B69F749BD0_.wvu.Rows" sId="1"/>
    <undo index="1" exp="area" ref3D="1" dr="$A$193:$XFD$195" dn="Z_C050815F_608D_4696_BF1D_66B69F749BD0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>
        <f>H171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8" sId="1" ref="A170:XFD170" action="deleteRow">
    <undo index="65535" exp="area" ref3D="1" dr="$A$236:$XFD$236" dn="Z_63C81512_0323_449A_8D16_969602EE6D8D_.wvu.Rows" sId="1"/>
    <undo index="65535" exp="area" ref3D="1" dr="$A$218:$XFD$219" dn="Z_63C81512_0323_449A_8D16_969602EE6D8D_.wvu.Rows" sId="1"/>
    <undo index="65535" exp="area" ref3D="1" dr="$A$192:$XFD$194" dn="Z_63C81512_0323_449A_8D16_969602EE6D8D_.wvu.Rows" sId="1"/>
    <undo index="65535" exp="area" ref3D="1" dr="$A$177:$XFD$178" dn="Z_63C81512_0323_449A_8D16_969602EE6D8D_.wvu.Rows" sId="1"/>
    <undo index="65535" exp="area" ref3D="1" dr="$A$236:$XFD$236" dn="Z_C050815F_608D_4696_BF1D_66B69F749BD0_.wvu.Rows" sId="1"/>
    <undo index="1" exp="area" ref3D="1" dr="$A$192:$XFD$194" dn="Z_C050815F_608D_4696_BF1D_66B69F749BD0_.wvu.Rows" sId="1"/>
    <rfmt sheetId="1" xfDxf="1" sqref="A170:XFD170" start="0" length="0">
      <dxf>
        <font>
          <b/>
          <i/>
          <name val="Times New Roman CYR"/>
          <family val="1"/>
        </font>
        <alignment wrapText="1"/>
      </dxf>
    </rfmt>
    <rcc rId="0" sId="1" dxf="1">
      <nc r="A170" t="inlineStr">
        <is>
          <t>Субсидии бюджетным учреждениям на 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612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969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" sId="1">
    <oc r="G171">
      <f>12253.1</f>
    </oc>
    <nc r="G171">
      <f>12253.1+12253.1</f>
    </nc>
  </rcc>
  <rcc rId="1020" sId="1">
    <oc r="H171">
      <f>12415.2</f>
    </oc>
    <nc r="H171">
      <f>12415.2+12415.2</f>
    </nc>
  </rcc>
  <rcc rId="1021" sId="1" odxf="1" dxf="1" numFmtId="4">
    <oc r="G173">
      <v>386</v>
    </oc>
    <nc r="G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" sId="1" odxf="1" dxf="1" numFmtId="4">
    <oc r="H173">
      <v>386</v>
    </oc>
    <nc r="H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3" sId="1">
    <oc r="G175">
      <f>103849.1</f>
    </oc>
    <nc r="G175">
      <f>103849.1+5715.8</f>
    </nc>
  </rcc>
  <rcc rId="1024" sId="1">
    <oc r="H175">
      <f>103744.8</f>
    </oc>
    <nc r="H175">
      <f>103744.8+5715.8</f>
    </nc>
  </rcc>
  <rrc rId="1025" sId="1" ref="A176:XFD176" action="deleteRow">
    <undo index="65535" exp="ref" v="1" dr="H176" r="H161" sId="1"/>
    <undo index="65535" exp="ref" v="1" dr="G176" r="G161" sId="1"/>
    <undo index="65535" exp="area" ref3D="1" dr="$A$235:$XFD$235" dn="Z_63C81512_0323_449A_8D16_969602EE6D8D_.wvu.Rows" sId="1"/>
    <undo index="65535" exp="area" ref3D="1" dr="$A$217:$XFD$218" dn="Z_63C81512_0323_449A_8D16_969602EE6D8D_.wvu.Rows" sId="1"/>
    <undo index="65535" exp="area" ref3D="1" dr="$A$191:$XFD$193" dn="Z_63C81512_0323_449A_8D16_969602EE6D8D_.wvu.Rows" sId="1"/>
    <undo index="65535" exp="area" ref3D="1" dr="$A$176:$XFD$177" dn="Z_63C81512_0323_449A_8D16_969602EE6D8D_.wvu.Rows" sId="1"/>
    <undo index="65535" exp="area" ref3D="1" dr="$A$235:$XFD$235" dn="Z_C050815F_608D_4696_BF1D_66B69F749BD0_.wvu.Rows" sId="1"/>
    <undo index="1" exp="area" ref3D="1" dr="$A$191:$XFD$193" dn="Z_C050815F_608D_4696_BF1D_66B69F749BD0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6">
        <f>G177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6" sId="1" ref="A176:XFD176" action="deleteRow">
    <undo index="65535" exp="area" ref3D="1" dr="$A$234:$XFD$234" dn="Z_63C81512_0323_449A_8D16_969602EE6D8D_.wvu.Rows" sId="1"/>
    <undo index="65535" exp="area" ref3D="1" dr="$A$216:$XFD$217" dn="Z_63C81512_0323_449A_8D16_969602EE6D8D_.wvu.Rows" sId="1"/>
    <undo index="65535" exp="area" ref3D="1" dr="$A$190:$XFD$192" dn="Z_63C81512_0323_449A_8D16_969602EE6D8D_.wvu.Rows" sId="1"/>
    <undo index="65535" exp="area" ref3D="1" dr="$A$176:$XFD$176" dn="Z_63C81512_0323_449A_8D16_969602EE6D8D_.wvu.Rows" sId="1"/>
    <undo index="65535" exp="area" ref3D="1" dr="$A$234:$XFD$234" dn="Z_C050815F_608D_4696_BF1D_66B69F749BD0_.wvu.Rows" sId="1"/>
    <undo index="1" exp="area" ref3D="1" dr="$A$190:$XFD$192" dn="Z_C050815F_608D_4696_BF1D_66B69F749BD0_.wvu.Rows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27" sId="1">
    <oc r="G177">
      <f>427.2</f>
    </oc>
    <nc r="G177">
      <f>427.2+8.5</f>
    </nc>
  </rcc>
  <rcc rId="1028" sId="1">
    <oc r="H177">
      <f>402.1</f>
    </oc>
    <nc r="H177">
      <f>402.1+8</f>
    </nc>
  </rcc>
  <rcc rId="1029" sId="1" numFmtId="4">
    <oc r="G180">
      <v>8280</v>
    </oc>
    <nc r="G180">
      <f>8280+414</f>
    </nc>
  </rcc>
  <rcc rId="1030" sId="1">
    <oc r="G161">
      <f>G162+G164+G166+G168+#REF!+G170+G172+G174+G176+G178</f>
    </oc>
    <nc r="G161">
      <f>G162+G164+G166+G168+G170+G172+G174+G176</f>
    </nc>
  </rcc>
  <rcc rId="1031" sId="1">
    <oc r="H161">
      <f>H162+H164+H166+H168+#REF!+H170+H172+H174+H176+H178</f>
    </oc>
    <nc r="H161">
      <f>H162+H164+H166+H168+H170+H172+H174+H176</f>
    </nc>
  </rcc>
  <rcc rId="1032" sId="1" numFmtId="4">
    <nc r="G184">
      <v>282</v>
    </nc>
  </rcc>
  <rcc rId="1033" sId="1" numFmtId="4">
    <nc r="H184">
      <v>282</v>
    </nc>
  </rcc>
  <rcc rId="1034" sId="1" numFmtId="4">
    <nc r="G185">
      <v>574.5</v>
    </nc>
  </rcc>
  <rcc rId="1035" sId="1" numFmtId="4">
    <nc r="H185">
      <v>574.5</v>
    </nc>
  </rcc>
  <rfmt sheetId="1" sqref="G190" start="0" length="0">
    <dxf>
      <fill>
        <patternFill patternType="solid">
          <bgColor theme="0"/>
        </patternFill>
      </fill>
    </dxf>
  </rfmt>
  <rfmt sheetId="1" sqref="H190" start="0" length="0">
    <dxf>
      <fill>
        <patternFill patternType="solid">
          <bgColor theme="0"/>
        </patternFill>
      </fill>
    </dxf>
  </rfmt>
  <rfmt sheetId="1" sqref="G191" start="0" length="0">
    <dxf>
      <fill>
        <patternFill patternType="solid">
          <bgColor theme="0"/>
        </patternFill>
      </fill>
    </dxf>
  </rfmt>
  <rfmt sheetId="1" sqref="H191" start="0" length="0">
    <dxf>
      <fill>
        <patternFill patternType="solid">
          <bgColor theme="0"/>
        </patternFill>
      </fill>
    </dxf>
  </rfmt>
  <rcc rId="1036" sId="1" odxf="1" dxf="1" numFmtId="4">
    <oc r="G187">
      <v>9312.7999999999993</v>
    </oc>
    <nc r="G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7" sId="1" odxf="1" dxf="1" numFmtId="4">
    <oc r="H187">
      <v>9312.7999999999993</v>
    </oc>
    <nc r="H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8" sId="1" odxf="1" dxf="1" numFmtId="4">
    <oc r="G188">
      <v>33017</v>
    </oc>
    <nc r="G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9" sId="1" odxf="1" dxf="1" numFmtId="4">
    <oc r="H188">
      <v>33017</v>
    </oc>
    <nc r="H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040" sId="1" ref="A189:XFD189" action="deleteRow">
    <undo index="65535" exp="ref" v="1" dr="H189" r="H182" sId="1"/>
    <undo index="65535" exp="ref" v="1" dr="G189" r="G182" sId="1"/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189:$XFD$191" dn="Z_63C81512_0323_449A_8D16_969602EE6D8D_.wvu.Rows" sId="1"/>
    <undo index="65535" exp="area" ref3D="1" dr="$A$233:$XFD$233" dn="Z_C050815F_608D_4696_BF1D_66B69F749BD0_.wvu.Rows" sId="1"/>
    <undo index="1" exp="area" ref3D="1" dr="$A$189:$XFD$191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Увеличение охвата детей дополнительным образованием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9">
        <f>G190+G191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f>H190+H191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1" sId="1" ref="A189:XFD189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189:$XFD$190" dn="Z_63C81512_0323_449A_8D16_969602EE6D8D_.wvu.Rows" sId="1"/>
    <undo index="65535" exp="area" ref3D="1" dr="$A$232:$XFD$232" dn="Z_C050815F_608D_4696_BF1D_66B69F749BD0_.wvu.Rows" sId="1"/>
    <undo index="1" exp="area" ref3D="1" dr="$A$189:$XFD$190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2" sId="1" ref="A189:XFD189" action="delete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189:$XFD$189" dn="Z_63C81512_0323_449A_8D16_969602EE6D8D_.wvu.Rows" sId="1"/>
    <undo index="65535" exp="area" ref3D="1" dr="$A$231:$XFD$231" dn="Z_C050815F_608D_4696_BF1D_66B69F749BD0_.wvu.Rows" sId="1"/>
    <undo index="1" exp="area" ref3D="1" dr="$A$189:$XFD$189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3" sId="1">
    <oc r="G182">
      <f>G183+G186+#REF!</f>
    </oc>
    <nc r="G182">
      <f>G183+G186</f>
    </nc>
  </rcc>
  <rcc rId="1044" sId="1">
    <oc r="H182">
      <f>H183+H186+#REF!</f>
    </oc>
    <nc r="H182">
      <f>H183+H186</f>
    </nc>
  </rcc>
  <rcc rId="1045" sId="1" numFmtId="4">
    <nc r="G206">
      <v>611.6</v>
    </nc>
  </rcc>
  <rcc rId="1046" sId="1" numFmtId="4">
    <nc r="H206">
      <v>611.6</v>
    </nc>
  </rcc>
  <rcc rId="1047" sId="1" numFmtId="4">
    <nc r="G207">
      <v>218.7</v>
    </nc>
  </rcc>
  <rcc rId="1048" sId="1" numFmtId="4">
    <nc r="H207">
      <v>218.7</v>
    </nc>
  </rcc>
  <rrc rId="1049" sId="1" ref="A211:XFD211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230:$XFD$230" dn="Z_C050815F_608D_4696_BF1D_66B69F749BD0_.wvu.Rows" sId="1"/>
  </rrc>
  <rcc rId="1050" sId="1">
    <nc r="B211" t="inlineStr">
      <is>
        <t>10501 83040</t>
      </is>
    </nc>
  </rcc>
  <rcc rId="1051" sId="1" numFmtId="30">
    <nc r="D211">
      <v>969</v>
    </nc>
  </rcc>
  <rcc rId="1052" sId="1">
    <nc r="E211" t="inlineStr">
      <is>
        <t>07</t>
      </is>
    </nc>
  </rcc>
  <rcc rId="1053" sId="1">
    <nc r="F211" t="inlineStr">
      <is>
        <t>09</t>
      </is>
    </nc>
  </rcc>
  <rcc rId="1054" sId="1">
    <nc r="C211" t="inlineStr">
      <is>
        <t>244</t>
      </is>
    </nc>
  </rcc>
  <rcc rId="1055" sId="1">
    <nc r="A211" t="inlineStr">
      <is>
        <t>Прочие закупки товаров, работ и услуг для государственных (муниципальных) нужд</t>
      </is>
    </nc>
  </rcc>
  <rcc rId="1056" sId="1" numFmtId="4">
    <nc r="G209">
      <v>20822.2</v>
    </nc>
  </rcc>
  <rcc rId="1057" sId="1" numFmtId="4">
    <nc r="H209">
      <v>20822.2</v>
    </nc>
  </rcc>
  <rcc rId="1058" sId="1" numFmtId="4">
    <nc r="G210">
      <v>6288.4</v>
    </nc>
  </rcc>
  <rcc rId="1059" sId="1" numFmtId="4">
    <nc r="H210">
      <v>6288.4</v>
    </nc>
  </rcc>
  <rcc rId="1060" sId="1" numFmtId="4">
    <nc r="G211">
      <v>8.3000000000000007</v>
    </nc>
  </rcc>
  <rcc rId="1061" sId="1" numFmtId="4">
    <nc r="H211">
      <v>8.3000000000000007</v>
    </nc>
  </rcc>
  <rcc rId="1062" sId="1" numFmtId="4">
    <nc r="G212">
      <v>505.2</v>
    </nc>
  </rcc>
  <rcc rId="1063" sId="1" numFmtId="4">
    <nc r="H212">
      <v>505.2</v>
    </nc>
  </rcc>
  <rcc rId="1064" sId="1" numFmtId="4">
    <nc r="G213">
      <v>25.6</v>
    </nc>
  </rcc>
  <rcc rId="1065" sId="1" numFmtId="4">
    <nc r="H213">
      <v>25.6</v>
    </nc>
  </rcc>
  <rcc rId="1066" sId="1" numFmtId="4">
    <nc r="G214">
      <v>48.5</v>
    </nc>
  </rcc>
  <rcc rId="1067" sId="1" numFmtId="4">
    <nc r="H214">
      <v>48.5</v>
    </nc>
  </rcc>
  <rcc rId="1068" sId="1" numFmtId="4">
    <nc r="G218">
      <v>200</v>
    </nc>
  </rcc>
  <rcc rId="1069" sId="1" numFmtId="4">
    <nc r="H218">
      <v>200</v>
    </nc>
  </rcc>
  <rcc rId="1070" sId="1" numFmtId="4">
    <nc r="G221">
      <v>98</v>
    </nc>
  </rcc>
  <rcc rId="1071" sId="1" numFmtId="4">
    <nc r="H221">
      <v>98</v>
    </nc>
  </rcc>
  <rcc rId="1072" sId="1" numFmtId="4">
    <nc r="G223">
      <v>105.6</v>
    </nc>
  </rcc>
  <rcc rId="1073" sId="1" numFmtId="4">
    <nc r="H223">
      <v>105.6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4" sId="1" ref="A178:XFD179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m rId="1075" sheetId="1" source="A172:XFD173" destination="A178:XFD179" sourceSheetId="1">
    <rfmt sheetId="1" xfDxf="1" sqref="A178:XFD178" start="0" length="0">
      <dxf>
        <font>
          <name val="Times New Roman CYR"/>
          <family val="1"/>
        </font>
        <alignment wrapText="1"/>
      </dxf>
    </rfmt>
    <rfmt sheetId="1" xfDxf="1" sqref="A179:XFD179" start="0" length="0">
      <dxf>
        <font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76" sId="1" ref="A172:XFD172" action="delete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rc rId="1077" sId="1" ref="A172:XFD172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cc rId="1078" sId="1">
    <oc r="C174" t="inlineStr">
      <is>
        <t>612</t>
      </is>
    </oc>
    <nc r="C174"/>
  </rcc>
  <rrc rId="1079" sId="1" ref="A178:XFD178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rc rId="1080" sId="1" ref="A178:XFD178" action="insert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</rrc>
  <rrc rId="1081" sId="1" ref="A178:XFD178" action="insert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</rrc>
  <rcc rId="1082" sId="1" odxf="1" dxf="1">
    <nc r="A178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3" sId="1" odxf="1" dxf="1">
    <nc r="A179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4" sId="1" odxf="1" dxf="1">
    <nc r="A18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085" sId="1" odxf="1" dxf="1">
    <nc r="B178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8" start="0" length="0">
    <dxf>
      <font>
        <i/>
        <name val="Times New Roman"/>
        <family val="1"/>
      </font>
    </dxf>
  </rfmt>
  <rcc rId="1086" sId="1" odxf="1" dxf="1">
    <nc r="B179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9" start="0" length="0">
    <dxf>
      <font>
        <i/>
        <name val="Times New Roman"/>
        <family val="1"/>
      </font>
    </dxf>
  </rfmt>
  <rcc rId="1087" sId="1">
    <nc r="B180" t="inlineStr">
      <is>
        <t>10202 83060</t>
      </is>
    </nc>
  </rcc>
  <rcc rId="1088" sId="1">
    <nc r="C180" t="inlineStr">
      <is>
        <t>612</t>
      </is>
    </nc>
  </rcc>
  <rcc rId="1089" sId="1" odxf="1" dxf="1" numFmtId="30">
    <nc r="D17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0" sId="1" odxf="1" dxf="1">
    <nc r="E17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1" sId="1" odxf="1" dxf="1">
    <nc r="F17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2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3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5" sId="1" numFmtId="30">
    <nc r="D180">
      <v>969</v>
    </nc>
  </rcc>
  <rcc rId="1096" sId="1">
    <nc r="E180" t="inlineStr">
      <is>
        <t>07</t>
      </is>
    </nc>
  </rcc>
  <rcc rId="1097" sId="1">
    <nc r="F180" t="inlineStr">
      <is>
        <t>02</t>
      </is>
    </nc>
  </rcc>
  <rcc rId="1098" sId="1" odxf="1" dxf="1">
    <nc r="G178">
      <f>G179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99" sId="1" odxf="1" dxf="1">
    <nc r="H178">
      <f>H179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0" sId="1" odxf="1" dxf="1">
    <nc r="G179">
      <f>G180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" sId="1" odxf="1" dxf="1">
    <nc r="H179">
      <f>H180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2" sId="1" odxf="1" dxf="1" numFmtId="4">
    <nc r="G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 odxf="1" dxf="1" numFmtId="4">
    <nc r="H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78:H179" start="0" length="2147483647">
    <dxf>
      <font>
        <i val="0"/>
      </font>
    </dxf>
  </rfmt>
  <rfmt sheetId="1" sqref="A178:H179" start="0" length="2147483647">
    <dxf>
      <font>
        <i/>
      </font>
    </dxf>
  </rfmt>
  <rcc rId="1104" sId="1">
    <oc r="G160">
      <f>G161+G181</f>
    </oc>
    <nc r="G160">
      <f>G161+G181+G178</f>
    </nc>
  </rcc>
  <rcc rId="1105" sId="1">
    <oc r="H160">
      <f>H161+H181</f>
    </oc>
    <nc r="H160">
      <f>H161+H181+H178</f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2:H262">
    <dxf>
      <numFmt numFmtId="169" formatCode="#,##0.00000"/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5" start="0" length="2147483647">
    <dxf>
      <font>
        <i val="0"/>
      </font>
    </dxf>
  </rfmt>
  <rfmt sheetId="1" sqref="D233" start="0" length="2147483647">
    <dxf>
      <font>
        <i val="0"/>
      </font>
    </dxf>
  </rfmt>
  <rfmt sheetId="1" sqref="A208:H208" start="0" length="2147483647">
    <dxf>
      <font>
        <i/>
      </font>
    </dxf>
  </rfmt>
  <rfmt sheetId="1" sqref="C150" start="0" length="2147483647">
    <dxf>
      <font>
        <i val="0"/>
      </font>
    </dxf>
  </rfmt>
  <rfmt sheetId="1" sqref="B141:H141" start="0" length="2147483647">
    <dxf>
      <font>
        <i/>
      </font>
    </dxf>
  </rfmt>
  <rfmt sheetId="1" sqref="D140:H140" start="0" length="2147483647">
    <dxf>
      <font>
        <b/>
      </font>
    </dxf>
  </rfmt>
  <rfmt sheetId="1" sqref="D140:H140" start="0" length="2147483647">
    <dxf>
      <font>
        <i/>
      </font>
    </dxf>
  </rfmt>
  <rfmt sheetId="1" sqref="B123:B124" start="0" length="2147483647">
    <dxf>
      <font>
        <i val="0"/>
      </font>
    </dxf>
  </rfmt>
  <rfmt sheetId="1" sqref="B106" start="0" length="2147483647">
    <dxf>
      <font>
        <i/>
      </font>
    </dxf>
  </rfmt>
  <rfmt sheetId="1" sqref="A100:H100" start="0" length="2147483647">
    <dxf>
      <font>
        <i/>
      </font>
    </dxf>
  </rfmt>
  <rfmt sheetId="1" sqref="A94:H94" start="0" length="2147483647">
    <dxf>
      <font>
        <i/>
      </font>
    </dxf>
  </rfmt>
  <rfmt sheetId="1" sqref="A77:H77" start="0" length="2147483647">
    <dxf>
      <font>
        <i/>
      </font>
    </dxf>
  </rfmt>
  <rfmt sheetId="1" sqref="A73:H7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A170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17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111" sId="1">
    <oc r="A174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174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112" sId="1">
    <oc r="A172" t="inlineStr">
      <is>
        <t xml:space="preserve">На оплату труда обслуживающего персонала муниципальных общеобразовательных организаций
</t>
      </is>
    </oc>
    <nc r="A172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" sId="1" numFmtId="4">
    <oc r="G157">
      <v>123194.7</v>
    </oc>
    <nc r="G157">
      <v>125717.6</v>
    </nc>
  </rcc>
  <rcc rId="460" sId="1" numFmtId="4">
    <oc r="G161">
      <v>77465.3</v>
    </oc>
    <nc r="G161">
      <v>87219.199999999997</v>
    </nc>
  </rcc>
  <rcc rId="461" sId="1" numFmtId="4">
    <oc r="G167">
      <v>241729</v>
    </oc>
    <nc r="G167">
      <v>244059.9</v>
    </nc>
  </rcc>
  <rcc rId="462" sId="1" numFmtId="4">
    <oc r="G181">
      <v>91225</v>
    </oc>
    <nc r="G181">
      <v>98810</v>
    </nc>
  </rcc>
  <rcc rId="463" sId="1">
    <oc r="H181">
      <v>91225</v>
    </oc>
    <nc r="H181">
      <f>G181</f>
    </nc>
  </rcc>
  <rcc rId="464" sId="1" numFmtId="4">
    <oc r="G188">
      <f>8362.1+1011.7</f>
    </oc>
    <nc r="G188">
      <v>9373.7900000000009</v>
    </nc>
  </rcc>
  <rcc rId="465" sId="1" numFmtId="4">
    <oc r="G205">
      <v>4805.2</v>
    </oc>
    <nc r="G205">
      <v>4805.2380000000003</v>
    </nc>
  </rcc>
  <rcc rId="466" sId="1" numFmtId="4">
    <oc r="G211">
      <v>55.37</v>
    </oc>
    <nc r="G211">
      <v>55.353999999999999</v>
    </nc>
  </rcc>
  <rcc rId="467" sId="1" numFmtId="4">
    <oc r="G212">
      <v>16.73</v>
    </oc>
    <nc r="G212">
      <v>16.725000000000001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7" sId="1" ref="A63:XFD65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135:$XFD$135" dn="Z_63C81512_0323_449A_8D16_969602EE6D8D_.wvu.Rows" sId="1"/>
    <undo index="65535" exp="area" ref3D="1" dr="$A$109:$XFD$109" dn="Z_63C81512_0323_449A_8D16_969602EE6D8D_.wvu.Rows" sId="1"/>
    <undo index="65535" exp="area" ref3D="1" dr="$A$230:$XFD$230" dn="Z_C050815F_608D_4696_BF1D_66B69F749BD0_.wvu.Rows" sId="1"/>
  </rrc>
  <rfmt sheetId="1" sqref="A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5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cc rId="1128" sId="1">
    <nc r="A6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129" sId="1" odxf="1" dxf="1">
    <nc r="A64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border outline="0">
        <left/>
        <right/>
        <top/>
        <bottom/>
      </border>
    </ndxf>
  </rcc>
  <rcc rId="1130" sId="1" odxf="1" dxf="1">
    <nc r="A65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1131" sId="1">
    <nc r="B63" t="inlineStr">
      <is>
        <t>06004 00000</t>
      </is>
    </nc>
  </rcc>
  <rcc rId="1132" sId="1">
    <nc r="B64" t="inlineStr">
      <is>
        <t>06004 L5760</t>
      </is>
    </nc>
  </rcc>
  <rcc rId="1133" sId="1" odxf="1" dxf="1">
    <nc r="B65" t="inlineStr">
      <is>
        <t>06004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1134" sId="1" odxf="1" dxf="1">
    <nc r="C65" t="inlineStr">
      <is>
        <t>322</t>
      </is>
    </nc>
    <ndxf>
      <fill>
        <patternFill patternType="solid">
          <bgColor theme="0"/>
        </patternFill>
      </fill>
    </ndxf>
  </rcc>
  <rcc rId="1135" sId="1" odxf="1" dxf="1">
    <nc r="D63" t="inlineStr">
      <is>
        <t>976</t>
      </is>
    </nc>
    <ndxf>
      <font>
        <b/>
        <i val="0"/>
        <name val="Times New Roman"/>
        <family val="1"/>
      </font>
    </ndxf>
  </rcc>
  <rcc rId="1136" sId="1">
    <nc r="E63" t="inlineStr">
      <is>
        <t>10</t>
      </is>
    </nc>
  </rcc>
  <rcc rId="1137" sId="1">
    <nc r="F63" t="inlineStr">
      <is>
        <t>03</t>
      </is>
    </nc>
  </rcc>
  <rcc rId="1138" sId="1">
    <nc r="D64" t="inlineStr">
      <is>
        <t>976</t>
      </is>
    </nc>
  </rcc>
  <rcc rId="1139" sId="1">
    <nc r="E64" t="inlineStr">
      <is>
        <t>10</t>
      </is>
    </nc>
  </rcc>
  <rcc rId="1140" sId="1">
    <nc r="F64" t="inlineStr">
      <is>
        <t>03</t>
      </is>
    </nc>
  </rcc>
  <rcc rId="1141" sId="1" odxf="1" dxf="1">
    <nc r="D65" t="inlineStr">
      <is>
        <t>976</t>
      </is>
    </nc>
    <ndxf>
      <fill>
        <patternFill patternType="solid">
          <bgColor theme="0"/>
        </patternFill>
      </fill>
    </ndxf>
  </rcc>
  <rcc rId="1142" sId="1" odxf="1" dxf="1">
    <nc r="E65" t="inlineStr">
      <is>
        <t>10</t>
      </is>
    </nc>
    <ndxf>
      <fill>
        <patternFill patternType="solid">
          <bgColor theme="0"/>
        </patternFill>
      </fill>
    </ndxf>
  </rcc>
  <rcc rId="1143" sId="1" odxf="1" dxf="1">
    <nc r="F65" t="inlineStr">
      <is>
        <t>03</t>
      </is>
    </nc>
    <ndxf>
      <fill>
        <patternFill patternType="solid">
          <bgColor theme="0"/>
        </patternFill>
      </fill>
    </ndxf>
  </rcc>
  <rcc rId="1144" sId="1" odxf="1" dxf="1">
    <nc r="G63">
      <f>G64</f>
    </nc>
    <ndxf>
      <alignment wrapText="0"/>
    </ndxf>
  </rcc>
  <rcc rId="1145" sId="1" odxf="1" dxf="1">
    <nc r="H63">
      <f>H64</f>
    </nc>
    <ndxf>
      <alignment wrapText="0"/>
    </ndxf>
  </rcc>
  <rcc rId="1146" sId="1" odxf="1" dxf="1">
    <nc r="G64">
      <f>G65</f>
    </nc>
    <ndxf>
      <alignment wrapText="0"/>
    </ndxf>
  </rcc>
  <rcc rId="1147" sId="1" odxf="1" dxf="1">
    <nc r="H64">
      <f>H65</f>
    </nc>
    <ndxf>
      <alignment wrapText="0"/>
    </ndxf>
  </rcc>
  <rcc rId="1148" sId="1" odxf="1" dxf="1" numFmtId="4">
    <nc r="G65">
      <f>1668.8+34.1</f>
    </nc>
    <ndxf>
      <fill>
        <patternFill patternType="solid">
          <bgColor theme="0"/>
        </patternFill>
      </fill>
    </ndxf>
  </rcc>
  <rcc rId="1149" sId="1" odxf="1" dxf="1" numFmtId="4">
    <nc r="H65">
      <f>3010.8+61.4</f>
    </nc>
    <ndxf>
      <fill>
        <patternFill patternType="solid">
          <bgColor theme="0"/>
        </patternFill>
      </fill>
    </ndxf>
  </rcc>
  <rcc rId="1150" sId="1">
    <oc r="G62">
      <f>G66</f>
    </oc>
    <nc r="G62">
      <f>G66+G63</f>
    </nc>
  </rcc>
  <rcc rId="1151" sId="1">
    <oc r="H62">
      <f>H66</f>
    </oc>
    <nc r="H62">
      <f>H66+H63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3" start="0" length="2147483647">
    <dxf>
      <font>
        <b val="0"/>
      </font>
    </dxf>
  </rfmt>
  <rcc rId="1152" sId="1">
    <oc r="G158">
      <f>71669.6+13536.3-13152.34-8902.27</f>
    </oc>
    <nc r="G158">
      <f>71669.6+13536.3-13152.34-8902.27-0.9</f>
    </nc>
  </rcc>
  <rcc rId="1153" sId="1">
    <oc r="H158">
      <f>71669.6+13536.3-18902.94-17760.38</f>
    </oc>
    <nc r="H158">
      <f>71669.6+13536.3-18902.94-17760.38</f>
    </nc>
  </rcc>
  <rcc rId="1154" sId="1" numFmtId="4">
    <oc r="G162">
      <v>262264.59999999998</v>
    </oc>
    <nc r="G162">
      <v>256485.6</v>
    </nc>
  </rcc>
  <rcc rId="1155" sId="1" numFmtId="4">
    <oc r="H162">
      <v>275252.5</v>
    </oc>
    <nc r="H162">
      <v>256485.6</v>
    </nc>
  </rcc>
  <rcc rId="1156" sId="1" numFmtId="4">
    <oc r="G166">
      <v>32512</v>
    </oc>
    <nc r="G166">
      <f>32512-22-2.9-0.2</f>
    </nc>
  </rcc>
  <rcc rId="1157" sId="1" numFmtId="4">
    <oc r="H166">
      <v>32512</v>
    </oc>
    <nc r="H166">
      <f>32512-1.1-0.2</f>
    </nc>
  </rcc>
  <rcc rId="1158" sId="1">
    <oc r="G168">
      <f>28457.8+284.6</f>
    </oc>
    <nc r="G168">
      <f>28457.8+287.5</f>
    </nc>
  </rcc>
  <rcc rId="1159" sId="1">
    <oc r="H168">
      <f>28457.8+284.6</f>
    </oc>
    <nc r="H168">
      <f>28280.1+285.7</f>
    </nc>
  </rcc>
  <rcc rId="1160" sId="1">
    <oc r="G170">
      <f>12253.1+12253.1</f>
    </oc>
    <nc r="G170">
      <f>12253.1+12253.1</f>
    </nc>
  </rcc>
  <rcc rId="1161" sId="1">
    <oc r="H170">
      <f>12415.2+12415.2</f>
    </oc>
    <nc r="H170">
      <f>12415.2+12415.2</f>
    </nc>
  </rcc>
  <rcc rId="1162" sId="1">
    <oc r="G172">
      <f>103849.1+5715.8</f>
    </oc>
    <nc r="G172">
      <f>108242.8+5715.8</f>
    </nc>
  </rcc>
  <rcc rId="1163" sId="1">
    <oc r="H172">
      <f>103744.8+5715.8</f>
    </oc>
    <nc r="H172">
      <f>108242.8+5715.8</f>
    </nc>
  </rcc>
  <rcc rId="1164" sId="1">
    <oc r="G174">
      <f>427.2+8.5</f>
    </oc>
    <nc r="G174">
      <f>427.2+8.7</f>
    </nc>
  </rcc>
  <rcc rId="1165" sId="1">
    <oc r="H174">
      <f>402.1+8</f>
    </oc>
    <nc r="H174">
      <f>402.1+8.2</f>
    </nc>
  </rcc>
  <rcc rId="1166" sId="1">
    <oc r="G176">
      <f>386+7.7</f>
    </oc>
    <nc r="G176">
      <f>386+7.9</f>
    </nc>
  </rcc>
  <rcc rId="1167" sId="1">
    <oc r="H176">
      <f>386+7.7</f>
    </oc>
    <nc r="H176">
      <f>386+7.9</f>
    </nc>
  </rcc>
  <rcc rId="1168" sId="1">
    <oc r="G182">
      <f>8280+414</f>
    </oc>
    <nc r="G182">
      <f>8280+436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9" sId="1" ref="A228:XFD228" action="insertRow">
    <undo index="65535" exp="area" ref3D="1" dr="$A$233:$XFD$233" dn="Z_63C81512_0323_449A_8D16_969602EE6D8D_.wvu.Rows" sId="1"/>
    <undo index="65535" exp="area" ref3D="1" dr="$A$233:$XFD$233" dn="Z_C050815F_608D_4696_BF1D_66B69F749BD0_.wvu.Rows" sId="1"/>
  </rrc>
  <rrc rId="1170" sId="1" ref="A228:XFD228" action="insertRow">
    <undo index="65535" exp="area" ref3D="1" dr="$A$234:$XFD$234" dn="Z_63C81512_0323_449A_8D16_969602EE6D8D_.wvu.Rows" sId="1"/>
    <undo index="65535" exp="area" ref3D="1" dr="$A$234:$XFD$234" dn="Z_C050815F_608D_4696_BF1D_66B69F749BD0_.wvu.Rows" sId="1"/>
  </rrc>
  <rcc rId="1171" sId="1" odxf="1" dxf="1">
    <nc r="A228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2" sId="1" odxf="1" dxf="1">
    <nc r="A229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173" sId="1" odxf="1" dxf="1">
    <nc r="B228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28" start="0" length="0">
    <dxf>
      <fill>
        <patternFill patternType="solid">
          <bgColor theme="0"/>
        </patternFill>
      </fill>
    </dxf>
  </rfmt>
  <rcc rId="1174" sId="1" odxf="1" dxf="1">
    <nc r="B229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5" sId="1" odxf="1" dxf="1">
    <nc r="C229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6" sId="1" odxf="1" dxf="1">
    <nc r="D22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177" sId="1" odxf="1" dxf="1">
    <nc r="E22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8" sId="1" odxf="1" dxf="1">
    <nc r="F22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9" sId="1" odxf="1" dxf="1">
    <nc r="D229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180" sId="1" odxf="1" dxf="1">
    <nc r="E229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1" sId="1" odxf="1" dxf="1">
    <nc r="F229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2" sId="1" odxf="1" dxf="1">
    <nc r="G228">
      <f>G229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3" sId="1" odxf="1" dxf="1">
    <nc r="H228">
      <f>H229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4" sId="1" odxf="1" dxf="1">
    <nc r="G229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5" sId="1" odxf="1" dxf="1" numFmtId="4">
    <nc r="H22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6" sId="1">
    <oc r="G227">
      <f>G232+G230+G235</f>
    </oc>
    <nc r="G227">
      <f>G232+G230+G235+G228</f>
    </nc>
  </rcc>
  <rcc rId="1187" sId="1">
    <oc r="H227">
      <f>H232+H230+H235</f>
    </oc>
    <nc r="H227">
      <f>H232+H230+H235+H228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>
    <oc r="G252">
      <f>15755.6+315.1+16</f>
    </oc>
    <nc r="G252">
      <f>16520.2+337.1+16.9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" sId="1" ref="A177:XFD177" action="insertRow">
    <undo index="65535" exp="area" ref3D="1" dr="$A$235:$XFD$235" dn="Z_63C81512_0323_449A_8D16_969602EE6D8D_.wvu.Rows" sId="1"/>
    <undo index="65535" exp="area" ref3D="1" dr="$A$215:$XFD$216" dn="Z_63C81512_0323_449A_8D16_969602EE6D8D_.wvu.Rows" sId="1"/>
    <undo index="65535" exp="area" ref3D="1" dr="$A$235:$XFD$235" dn="Z_C050815F_608D_4696_BF1D_66B69F749BD0_.wvu.Rows" sId="1"/>
  </rrc>
  <rrc rId="1190" sId="1" ref="A177:XFD177" action="insertRow">
    <undo index="65535" exp="area" ref3D="1" dr="$A$236:$XFD$236" dn="Z_63C81512_0323_449A_8D16_969602EE6D8D_.wvu.Rows" sId="1"/>
    <undo index="65535" exp="area" ref3D="1" dr="$A$216:$XFD$217" dn="Z_63C81512_0323_449A_8D16_969602EE6D8D_.wvu.Rows" sId="1"/>
    <undo index="65535" exp="area" ref3D="1" dr="$A$236:$XFD$236" dn="Z_C050815F_608D_4696_BF1D_66B69F749BD0_.wvu.Rows" sId="1"/>
  </rrc>
  <rcc rId="1191" sId="1" odxf="1" dxf="1">
    <nc r="A17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</ndxf>
  </rcc>
  <rcc rId="1192" sId="1">
    <nc r="A1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93" sId="1" odxf="1" dxf="1">
    <nc r="B177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94" sId="1" odxf="1" dxf="1">
    <nc r="B178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5" sId="1" odxf="1" dxf="1">
    <nc r="C178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6" sId="1" odxf="1" dxf="1">
    <nc r="D17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E177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8" sId="1" odxf="1" dxf="1">
    <nc r="F17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" sId="1">
    <nc r="D178" t="inlineStr">
      <is>
        <t>969</t>
      </is>
    </nc>
  </rcc>
  <rcc rId="1200" sId="1" odxf="1" dxf="1">
    <nc r="E17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1" sId="1" odxf="1" dxf="1">
    <nc r="F17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2" sId="1" odxf="1" dxf="1">
    <nc r="G177">
      <f>G178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3" sId="1" odxf="1" dxf="1">
    <nc r="H177">
      <f>H178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" sId="1" numFmtId="4">
    <nc r="G178">
      <v>4690.3999999999996</v>
    </nc>
  </rcc>
  <rcc rId="1205" sId="1" numFmtId="4">
    <nc r="H178">
      <v>4690.3999999999996</v>
    </nc>
  </rcc>
  <rcc rId="1206" sId="1">
    <oc r="G160">
      <f>G161+G163+G165+G167+G169+G175+G171+G173</f>
    </oc>
    <nc r="G160">
      <f>G161+G163+G165+G167+G169+G175+G171+G173+G177</f>
    </nc>
  </rcc>
  <rcc rId="1207" sId="1">
    <oc r="H160">
      <f>H161+H163+H165+H167+H169+H175+H171+H173</f>
    </oc>
    <nc r="H160">
      <f>H161+H163+H165+H167+H169+H175+H171+H173+H177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" sId="1" numFmtId="4">
    <oc r="G133">
      <v>621.9</v>
    </oc>
    <nc r="G133">
      <v>829.2</v>
    </nc>
  </rcc>
  <rcc rId="1209" sId="1" numFmtId="4">
    <oc r="H133">
      <v>621.9</v>
    </oc>
    <nc r="H133">
      <v>829.2</v>
    </nc>
  </rcc>
  <rcc rId="1210" sId="1" numFmtId="4">
    <oc r="G134">
      <v>187.8</v>
    </oc>
    <nc r="G134">
      <v>250.4</v>
    </nc>
  </rcc>
  <rcc rId="1211" sId="1" numFmtId="4">
    <oc r="H134">
      <v>187.8</v>
    </oc>
    <nc r="H134">
      <v>250.4</v>
    </nc>
  </rcc>
  <rcc rId="1212" sId="1">
    <oc r="G122">
      <f>676.8+1954.4</f>
    </oc>
    <nc r="G122">
      <f>676.8+1954.4+689.7</f>
    </nc>
  </rcc>
  <rcc rId="1213" sId="1">
    <oc r="H122">
      <f>676.8+1954.4</f>
    </oc>
    <nc r="H122">
      <f>676.8+1954.4+689.7</f>
    </nc>
  </rcc>
  <rcc rId="1214" sId="1">
    <oc r="G123">
      <f>204.4+590.2</f>
    </oc>
    <nc r="G123">
      <f>204.4+590.2+208.3</f>
    </nc>
  </rcc>
  <rcc rId="1215" sId="1">
    <oc r="H123">
      <f>204.4+590.2</f>
    </oc>
    <nc r="H123">
      <f>204.4+590.2+208.3</f>
    </nc>
  </rcc>
  <rcc rId="1216" sId="1" numFmtId="4">
    <oc r="G136">
      <v>1847.2</v>
    </oc>
    <nc r="G136">
      <v>2462.9</v>
    </nc>
  </rcc>
  <rcc rId="1217" sId="1" numFmtId="4">
    <oc r="H136">
      <v>1847.2</v>
    </oc>
    <nc r="H136">
      <v>2462.9</v>
    </nc>
  </rcc>
  <rcc rId="1218" sId="1" numFmtId="4">
    <oc r="G137">
      <v>1492.1</v>
    </oc>
    <nc r="G137">
      <v>743.8</v>
    </nc>
  </rcc>
  <rcc rId="1219" sId="1" numFmtId="4">
    <oc r="H137">
      <v>1492.1</v>
    </oc>
    <nc r="H137">
      <v>743.8</v>
    </nc>
  </rcc>
  <rcv guid="{DD9A8EC0-978F-40DB-8504-69866F97ABC3}" action="delete"/>
  <rdn rId="0" localSheetId="1" customView="1" name="Z_DD9A8EC0_978F_40DB_8504_69866F97ABC3_.wvu.PrintArea" hidden="1" oldHidden="1">
    <formula>Мун.программы!$A$1:$H$259</formula>
    <oldFormula>Мун.программы!$A$1:$H$259</oldFormula>
  </rdn>
  <rdn rId="0" localSheetId="1" customView="1" name="Z_DD9A8EC0_978F_40DB_8504_69866F97ABC3_.wvu.FilterData" hidden="1" oldHidden="1">
    <formula>Мун.программы!$A$16:$Q$395</formula>
    <oldFormula>Мун.программы!$A$16:$Q$395</oldFormula>
  </rdn>
  <rcv guid="{DD9A8EC0-978F-40DB-8504-69866F97ABC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" sId="1" numFmtId="4">
    <oc r="G149">
      <f>1016.4+104.6</f>
    </oc>
    <nc r="G149">
      <v>1529.7</v>
    </nc>
  </rcc>
  <rcc rId="1223" sId="1" numFmtId="4">
    <oc r="H149">
      <f>1016.4+104.6</f>
    </oc>
    <nc r="H149">
      <v>1529.7</v>
    </nc>
  </rcc>
  <rcc rId="1224" sId="1" numFmtId="4">
    <oc r="G127">
      <f>17788.7+1050</f>
    </oc>
    <nc r="G127">
      <v>32631.1</v>
    </nc>
  </rcc>
  <rcc rId="1225" sId="1" numFmtId="4">
    <oc r="H127">
      <f>17788.7+1050</f>
    </oc>
    <nc r="H127">
      <v>32631.1</v>
    </nc>
  </rcc>
  <rcc rId="1226" sId="1" numFmtId="4">
    <oc r="G107">
      <v>639.79999999999995</v>
    </oc>
    <nc r="G107">
      <v>853.1</v>
    </nc>
  </rcc>
  <rcc rId="1227" sId="1" numFmtId="4">
    <oc r="H107">
      <v>639.79999999999995</v>
    </oc>
    <nc r="H107">
      <v>853.1</v>
    </nc>
  </rcc>
  <rcc rId="1228" sId="1" numFmtId="4">
    <oc r="G108">
      <v>193.2</v>
    </oc>
    <nc r="G108">
      <v>257.60000000000002</v>
    </nc>
  </rcc>
  <rcc rId="1229" sId="1" numFmtId="4">
    <oc r="H108">
      <v>193.2</v>
    </oc>
    <nc r="H108">
      <v>257.60000000000002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" sId="1" numFmtId="4">
    <oc r="G110">
      <v>6828.8</v>
    </oc>
    <nc r="G110">
      <v>9191.2000000000007</v>
    </nc>
  </rcc>
  <rcc rId="1231" sId="1" numFmtId="4">
    <oc r="H110">
      <v>6828.8</v>
    </oc>
    <nc r="H110">
      <v>9191.2000000000007</v>
    </nc>
  </rcc>
  <rcc rId="1232" sId="1" numFmtId="4">
    <oc r="G111">
      <v>2062.3000000000002</v>
    </oc>
    <nc r="G111">
      <v>2775.7</v>
    </nc>
  </rcc>
  <rcc rId="1233" sId="1" numFmtId="4">
    <oc r="H111">
      <v>2062.3000000000002</v>
    </oc>
    <nc r="H111">
      <v>2775.7</v>
    </nc>
  </rcc>
  <rcc rId="1234" sId="1" numFmtId="4">
    <oc r="G88">
      <f>8104.9+183.2</f>
    </oc>
    <nc r="G88">
      <v>11251.2</v>
    </nc>
  </rcc>
  <rcc rId="1235" sId="1" numFmtId="4">
    <oc r="H88">
      <f>8104.9+183.2</f>
    </oc>
    <nc r="H88">
      <v>11251.2</v>
    </nc>
  </rcc>
  <rcc rId="1236" sId="1" numFmtId="4">
    <oc r="G100">
      <f>11696.3+550.8</f>
    </oc>
    <nc r="G100">
      <v>16513</v>
    </nc>
  </rcc>
  <rcc rId="1237" sId="1" numFmtId="4">
    <oc r="H100">
      <f>11696.3+550.8</f>
    </oc>
    <nc r="H100">
      <v>16513</v>
    </nc>
  </rcc>
  <rcc rId="1238" sId="1" numFmtId="4">
    <oc r="G94">
      <f>13094.4+750.9</f>
    </oc>
    <nc r="G94">
      <v>18710.7</v>
    </nc>
  </rcc>
  <rcc rId="1239" sId="1" numFmtId="4">
    <oc r="H94">
      <f>17459.2</f>
    </oc>
    <nc r="H94">
      <v>18710.7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0" sId="1" numFmtId="4">
    <oc r="G20">
      <v>50</v>
    </oc>
    <nc r="G20">
      <v>100</v>
    </nc>
  </rcc>
  <rcc rId="1241" sId="1" numFmtId="4">
    <oc r="H20">
      <v>50</v>
    </oc>
    <nc r="H20">
      <v>100</v>
    </nc>
  </rcc>
  <rcc rId="1242" sId="1" numFmtId="4">
    <oc r="G31">
      <v>4920.6000000000004</v>
    </oc>
    <nc r="G31">
      <v>6560.8</v>
    </nc>
  </rcc>
  <rcc rId="1243" sId="1" numFmtId="4">
    <oc r="H31">
      <v>4920.6000000000004</v>
    </oc>
    <nc r="H31">
      <v>6560.8</v>
    </nc>
  </rcc>
  <rcc rId="1244" sId="1" numFmtId="4">
    <oc r="G32">
      <v>1486</v>
    </oc>
    <nc r="G32">
      <v>1981.4</v>
    </nc>
  </rcc>
  <rcc rId="1245" sId="1" numFmtId="4">
    <oc r="H32">
      <v>1486</v>
    </oc>
    <nc r="H32">
      <v>1981.4</v>
    </nc>
  </rcc>
  <rcc rId="1246" sId="1" numFmtId="4">
    <oc r="G47">
      <v>4289.7</v>
    </oc>
    <nc r="G47">
      <v>5719.6</v>
    </nc>
  </rcc>
  <rcc rId="1247" sId="1" numFmtId="4">
    <oc r="H47">
      <v>4289.7</v>
    </oc>
    <nc r="H47">
      <v>5719.6</v>
    </nc>
  </rcc>
  <rcc rId="1248" sId="1" numFmtId="4">
    <oc r="G48">
      <v>1295.5</v>
    </oc>
    <nc r="G48">
      <v>1727.3</v>
    </nc>
  </rcc>
  <rcc rId="1249" sId="1" numFmtId="4">
    <oc r="H48">
      <v>1295.5</v>
    </oc>
    <nc r="H48">
      <v>1727.3</v>
    </nc>
  </rcc>
  <rcc rId="1250" sId="1" numFmtId="4">
    <oc r="G61">
      <v>105</v>
    </oc>
    <nc r="G61">
      <v>135</v>
    </nc>
  </rcc>
  <rcc rId="1251" sId="1" numFmtId="4">
    <oc r="H61">
      <v>105</v>
    </oc>
    <nc r="H61">
      <v>135</v>
    </nc>
  </rcc>
  <rcc rId="1252" sId="1">
    <oc r="G65">
      <f>1668.8+34.1</f>
    </oc>
    <nc r="G65">
      <f>1668.7+34.1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3" sId="1" ref="A159:XFD159" action="insertRow">
    <undo index="65535" exp="area" ref3D="1" dr="$A$237:$XFD$237" dn="Z_C050815F_608D_4696_BF1D_66B69F749BD0_.wvu.Rows" sId="1"/>
    <undo index="65535" exp="area" ref3D="1" dr="$A$237:$XFD$237" dn="Z_63C81512_0323_449A_8D16_969602EE6D8D_.wvu.Rows" sId="1"/>
    <undo index="65535" exp="area" ref3D="1" dr="$A$217:$XFD$218" dn="Z_63C81512_0323_449A_8D16_969602EE6D8D_.wvu.Rows" sId="1"/>
  </rrc>
  <rrc rId="1254" sId="1" ref="A159:XFD159" action="insertRow">
    <undo index="65535" exp="area" ref3D="1" dr="$A$238:$XFD$238" dn="Z_C050815F_608D_4696_BF1D_66B69F749BD0_.wvu.Rows" sId="1"/>
    <undo index="65535" exp="area" ref3D="1" dr="$A$238:$XFD$238" dn="Z_63C81512_0323_449A_8D16_969602EE6D8D_.wvu.Rows" sId="1"/>
    <undo index="65535" exp="area" ref3D="1" dr="$A$218:$XFD$219" dn="Z_63C81512_0323_449A_8D16_969602EE6D8D_.wvu.Rows" sId="1"/>
  </rrc>
  <rcc rId="1255" sId="1" numFmtId="4">
    <oc r="G212">
      <v>611.6</v>
    </oc>
    <nc r="G212">
      <v>815.4</v>
    </nc>
  </rcc>
  <rcc rId="1256" sId="1" numFmtId="4">
    <oc r="H212">
      <v>611.6</v>
    </oc>
    <nc r="H212">
      <v>815.4</v>
    </nc>
  </rcc>
  <rcc rId="1257" sId="1" numFmtId="4">
    <oc r="G213">
      <v>218.7</v>
    </oc>
    <nc r="G213">
      <v>291.60000000000002</v>
    </nc>
  </rcc>
  <rcc rId="1258" sId="1" numFmtId="4">
    <oc r="H213">
      <v>218.7</v>
    </oc>
    <nc r="H213">
      <v>291.60000000000002</v>
    </nc>
  </rcc>
  <rcc rId="1259" sId="1" numFmtId="4">
    <oc r="G215">
      <v>20822.2</v>
    </oc>
    <nc r="G215">
      <v>7871.4</v>
    </nc>
  </rcc>
  <rcc rId="1260" sId="1" numFmtId="4">
    <oc r="H215">
      <v>20822.2</v>
    </oc>
    <nc r="H215">
      <v>7871.4</v>
    </nc>
  </rcc>
  <rcc rId="1261" sId="1" numFmtId="4">
    <oc r="G216">
      <v>6288.4</v>
    </oc>
    <nc r="G216">
      <v>2377.1999999999998</v>
    </nc>
  </rcc>
  <rcc rId="1262" sId="1" numFmtId="4">
    <oc r="H216">
      <v>6288.4</v>
    </oc>
    <nc r="H216">
      <v>2377.1999999999998</v>
    </nc>
  </rcc>
  <rcc rId="1263" sId="1" numFmtId="4">
    <oc r="G217">
      <v>8.3000000000000007</v>
    </oc>
    <nc r="G217">
      <v>13.8</v>
    </nc>
  </rcc>
  <rcc rId="1264" sId="1" numFmtId="4">
    <oc r="H217">
      <v>8.3000000000000007</v>
    </oc>
    <nc r="H217">
      <v>13.8</v>
    </nc>
  </rcc>
  <rcc rId="1265" sId="1" numFmtId="4">
    <oc r="G218">
      <v>505.2</v>
    </oc>
    <nc r="G218">
      <v>842</v>
    </nc>
  </rcc>
  <rcc rId="1266" sId="1" numFmtId="4">
    <oc r="H218">
      <v>505.2</v>
    </oc>
    <nc r="H218">
      <v>842</v>
    </nc>
  </rcc>
  <rcc rId="1267" sId="1">
    <oc r="G256">
      <f>16520.2+337.1+16.9</f>
    </oc>
    <nc r="G256">
      <f>16520.2+337.1+16.8573</f>
    </nc>
  </rcc>
  <rcc rId="1268" sId="1" numFmtId="4">
    <oc r="G260">
      <v>1000</v>
    </oc>
    <nc r="G260">
      <v>1500</v>
    </nc>
  </rcc>
  <rcc rId="1269" sId="1" numFmtId="4">
    <oc r="H260">
      <v>1000</v>
    </oc>
    <nc r="H260">
      <v>1500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238">
      <v>32141.8</v>
    </oc>
    <nc r="G238">
      <v>82141.8</v>
    </nc>
  </rcc>
  <rcc rId="469" sId="1" numFmtId="4">
    <oc r="H238">
      <v>30713.9</v>
    </oc>
    <nc r="H238">
      <v>130713.9</v>
    </nc>
  </rcc>
  <rcc rId="470" sId="1" numFmtId="4">
    <oc r="G243">
      <f>51500</f>
    </oc>
    <nc r="G243">
      <v>0</v>
    </nc>
  </rcc>
  <rcc rId="471" sId="1" numFmtId="4">
    <oc r="H243">
      <f>99100</f>
    </oc>
    <nc r="H243">
      <v>0</v>
    </nc>
  </rcc>
  <rcc rId="472" sId="1" numFmtId="4">
    <oc r="G268">
      <f>14180+283.6+14.5</f>
    </oc>
    <nc r="G268">
      <v>14478.09729</v>
    </nc>
  </rcc>
  <rcc rId="473" sId="1" numFmtId="4">
    <oc r="H268">
      <f>15755.6+315.1+16.1</f>
    </oc>
    <nc r="H268">
      <v>16086.76713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0" sId="1" odxf="1" dxf="1">
    <oc r="G168">
      <f>32512-22-2.9-0.2</f>
    </oc>
    <nc r="G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H168">
      <f>32512-1.1-0.2</f>
    </oc>
    <nc r="H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2" sId="1" odxf="1" dxf="1">
    <nc r="A1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3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74" sId="1" odxf="1" dxf="1">
    <nc r="B159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9" start="0" length="0">
    <dxf>
      <font>
        <i/>
        <name val="Times New Roman"/>
        <family val="1"/>
      </font>
    </dxf>
  </rfmt>
  <rcc rId="1275" sId="1">
    <nc r="B160" t="inlineStr">
      <is>
        <t>10101 S2160</t>
      </is>
    </nc>
  </rcc>
  <rcc rId="1276" sId="1">
    <nc r="C160" t="inlineStr">
      <is>
        <t>611</t>
      </is>
    </nc>
  </rcc>
  <rcc rId="1277" sId="1" odxf="1" dxf="1" numFmtId="30">
    <nc r="D15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8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" sId="1" numFmtId="30">
    <nc r="D160">
      <v>969</v>
    </nc>
  </rcc>
  <rcc rId="1281" sId="1">
    <nc r="E160" t="inlineStr">
      <is>
        <t>07</t>
      </is>
    </nc>
  </rcc>
  <rcc rId="1282" sId="1">
    <nc r="F160" t="inlineStr">
      <is>
        <t>01</t>
      </is>
    </nc>
  </rcc>
  <rcc rId="1283" sId="1" odxf="1" dxf="1">
    <nc r="G159">
      <f>G160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4" sId="1" odxf="1" dxf="1">
    <nc r="H159">
      <f>H160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5" sId="1" odxf="1" dxf="1">
    <nc r="G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6" sId="1" odxf="1" dxf="1">
    <nc r="H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7" sId="1">
    <oc r="G152">
      <f>G153+G157+G155</f>
    </oc>
    <nc r="G152">
      <f>G153+G157+G155+G159</f>
    </nc>
  </rcc>
  <rcc rId="1288" sId="1">
    <oc r="H152">
      <f>H153+H157+H155</f>
    </oc>
    <nc r="H152">
      <f>H153+H157+H155+H159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9" sId="1" ref="A221:XFD221" action="insertRow">
    <undo index="65535" exp="area" ref3D="1" dr="$A$239:$XFD$239" dn="Z_C050815F_608D_4696_BF1D_66B69F749BD0_.wvu.Rows" sId="1"/>
    <undo index="65535" exp="area" ref3D="1" dr="$A$239:$XFD$239" dn="Z_63C81512_0323_449A_8D16_969602EE6D8D_.wvu.Rows" sId="1"/>
  </rrc>
  <rrc rId="1290" sId="1" ref="A221:XFD221" action="insertRow">
    <undo index="65535" exp="area" ref3D="1" dr="$A$240:$XFD$240" dn="Z_C050815F_608D_4696_BF1D_66B69F749BD0_.wvu.Rows" sId="1"/>
    <undo index="65535" exp="area" ref3D="1" dr="$A$240:$XFD$240" dn="Z_63C81512_0323_449A_8D16_969602EE6D8D_.wvu.Rows" sId="1"/>
  </rrc>
  <rrc rId="1291" sId="1" ref="A221:XFD221" action="insertRow">
    <undo index="65535" exp="area" ref3D="1" dr="$A$241:$XFD$241" dn="Z_C050815F_608D_4696_BF1D_66B69F749BD0_.wvu.Rows" sId="1"/>
    <undo index="65535" exp="area" ref3D="1" dr="$A$241:$XFD$241" dn="Z_63C81512_0323_449A_8D16_969602EE6D8D_.wvu.Rows" sId="1"/>
  </rrc>
  <rcc rId="1292" sId="1" odxf="1" dxf="1">
    <nc r="A2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3" sId="1" odxf="1" dxf="1">
    <nc r="A2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94" sId="1" odxf="1" dxf="1">
    <nc r="A2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295" sId="1" odxf="1" dxf="1">
    <nc r="B221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21" start="0" length="0">
    <dxf>
      <font>
        <i/>
        <name val="Times New Roman"/>
        <family val="1"/>
      </font>
    </dxf>
  </rfmt>
  <rcc rId="1296" sId="1">
    <nc r="B222" t="inlineStr">
      <is>
        <t>10501  S2160</t>
      </is>
    </nc>
  </rcc>
  <rcc rId="1297" sId="1">
    <nc r="C222" t="inlineStr">
      <is>
        <t>111</t>
      </is>
    </nc>
  </rcc>
  <rcc rId="1298" sId="1">
    <nc r="B223" t="inlineStr">
      <is>
        <t>10501 S2160</t>
      </is>
    </nc>
  </rcc>
  <rcc rId="1299" sId="1">
    <nc r="C223" t="inlineStr">
      <is>
        <t>119</t>
      </is>
    </nc>
  </rcc>
  <rcc rId="1300" sId="1" odxf="1" dxf="1">
    <nc r="D22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1" sId="1" odxf="1" dxf="1">
    <nc r="E22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" sId="1" odxf="1" dxf="1">
    <nc r="F2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" sId="1">
    <nc r="D222" t="inlineStr">
      <is>
        <t>969</t>
      </is>
    </nc>
  </rcc>
  <rcc rId="1304" sId="1">
    <nc r="E222" t="inlineStr">
      <is>
        <t>07</t>
      </is>
    </nc>
  </rcc>
  <rcc rId="1305" sId="1">
    <nc r="F222" t="inlineStr">
      <is>
        <t>09</t>
      </is>
    </nc>
  </rcc>
  <rcc rId="1306" sId="1">
    <nc r="D223" t="inlineStr">
      <is>
        <t>969</t>
      </is>
    </nc>
  </rcc>
  <rcc rId="1307" sId="1">
    <nc r="E223" t="inlineStr">
      <is>
        <t>07</t>
      </is>
    </nc>
  </rcc>
  <rcc rId="1308" sId="1">
    <nc r="F223" t="inlineStr">
      <is>
        <t>09</t>
      </is>
    </nc>
  </rcc>
  <rcc rId="1309" sId="1" odxf="1" dxf="1">
    <nc r="G221">
      <f>G222+G223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" sId="1" odxf="1" dxf="1">
    <nc r="H221">
      <f>H222+H223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1" sId="1" odxf="1" dxf="1">
    <nc r="G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2" sId="1" odxf="1" dxf="1">
    <nc r="H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3" sId="1" odxf="1" dxf="1">
    <nc r="G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 odxf="1" dxf="1">
    <nc r="H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5" sId="1">
    <oc r="G208">
      <f>G211+G214+G209</f>
    </oc>
    <nc r="G208">
      <f>G211+G214+G209+G221</f>
    </nc>
  </rcc>
  <rcc rId="1316" sId="1">
    <oc r="H208">
      <f>H211+H214+H209</f>
    </oc>
    <nc r="H208">
      <f>H211+H214+H209+H221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" sId="1" odxf="1" dxf="1">
    <nc r="G277">
      <f>G264-G275</f>
    </nc>
    <odxf>
      <numFmt numFmtId="0" formatCode="General"/>
    </odxf>
    <ndxf>
      <numFmt numFmtId="169" formatCode="_-* #,##0.00000\ _₽_-;\-* #,##0.00000\ _₽_-;_-* &quot;-&quot;?????\ _₽_-;_-@_-"/>
    </ndxf>
  </rcc>
  <rcc rId="1318" sId="1" odxf="1" dxf="1">
    <nc r="H277">
      <f>H264-H275</f>
    </nc>
    <odxf>
      <numFmt numFmtId="0" formatCode="General"/>
    </odxf>
    <ndxf>
      <numFmt numFmtId="169" formatCode="_-* #,##0.00000\ _₽_-;\-* #,##0.00000\ _₽_-;_-* &quot;-&quot;?????\ _₽_-;_-@_-"/>
    </ndxf>
  </rcc>
  <rcc rId="1319" sId="1" odxf="1" dxf="1">
    <oc r="G158">
      <f>71669.6+13536.3-13152.34-8902.27-0.9</f>
    </oc>
    <nc r="G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0" sId="1" odxf="1" dxf="1">
    <oc r="H158">
      <f>71669.6+13536.3-18902.94-17760.38</f>
    </oc>
    <nc r="H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1" sId="1">
    <oc r="G193">
      <f>10159.152+12754.7</f>
    </oc>
    <nc r="G193">
      <f>10159.152+12776.8</f>
    </nc>
  </rcc>
  <rcc rId="1322" sId="1">
    <oc r="H193">
      <f>10159.152+12754.7</f>
    </oc>
    <nc r="H193">
      <f>10159.152+12776.8</f>
    </nc>
  </rcc>
  <rcc rId="1323" sId="1">
    <oc r="G194">
      <f>32170.648+20925.5</f>
    </oc>
    <nc r="G194">
      <f>32170.648+27897.8+957.5</f>
    </nc>
  </rcc>
  <rcc rId="1324" sId="1">
    <oc r="H194">
      <f>32170.648+20925.5</f>
    </oc>
    <nc r="H194">
      <f>32170.648+27897.8+957.5</f>
    </nc>
  </rcc>
  <rcc rId="1325" sId="1" numFmtId="4">
    <nc r="G275">
      <v>1366016.7973</v>
    </nc>
  </rcc>
  <rcc rId="1326" sId="1" numFmtId="4">
    <nc r="H275">
      <v>1254129.3999999999</v>
    </nc>
  </rcc>
  <rrc rId="1327" sId="1" ref="A163:XFD163" action="insert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</rrc>
  <rrc rId="1328" sId="1" ref="A164:XFD164" action="insertRow"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</rrc>
  <rcc rId="1329" sId="1">
    <nc r="A163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330" sId="1" odxf="1" dxf="1">
    <nc r="A164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1331" sId="1">
    <nc r="B163" t="inlineStr">
      <is>
        <t>10201 53030</t>
      </is>
    </nc>
  </rcc>
  <rcc rId="1332" sId="1" odxf="1" dxf="1">
    <nc r="B164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" sId="1" odxf="1" dxf="1">
    <nc r="C164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" sId="1">
    <nc r="E163" t="inlineStr">
      <is>
        <t>07</t>
      </is>
    </nc>
  </rcc>
  <rcc rId="1335" sId="1">
    <nc r="F163" t="inlineStr">
      <is>
        <t>02</t>
      </is>
    </nc>
  </rcc>
  <rcc rId="1336" sId="1" odxf="1" dxf="1">
    <nc r="E16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7" sId="1" odxf="1" dxf="1">
    <nc r="F1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8" sId="1">
    <nc r="D163" t="inlineStr">
      <is>
        <t>969</t>
      </is>
    </nc>
  </rcc>
  <rcc rId="1339" sId="1" odxf="1" dxf="1" numFmtId="30">
    <nc r="D164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40" sId="1" odxf="1" dxf="1"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1" sId="1" odxf="1" dxf="1"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2" sId="1" odxf="1" dxf="1" numFmtId="4">
    <nc r="G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3" sId="1" odxf="1" dxf="1" numFmtId="4">
    <nc r="H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4" sId="1">
    <oc r="G162">
      <f>G165+G167+G169+G171+G173+G179+G175+G177+G181</f>
    </oc>
    <nc r="G162">
      <f>G165+G167+G169+G171+G173+G179+G175+G177+G181+G163</f>
    </nc>
  </rcc>
  <rcc rId="1345" sId="1">
    <oc r="H162">
      <f>H165+H167+H169+H171+H173+H179+H175+H177+H181</f>
    </oc>
    <nc r="H162">
      <f>H165+H167+H169+H171+H173+H179+H175+H177+H181+H163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6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fmt sheetId="1" sqref="A147:H147" start="0" length="2147483647">
    <dxf>
      <font>
        <b val="0"/>
      </font>
    </dxf>
  </rfmt>
  <rfmt sheetId="1" sqref="A147:H147" start="0" length="2147483647">
    <dxf>
      <font>
        <i/>
      </font>
    </dxf>
  </rfmt>
  <rfmt sheetId="1" sqref="A146:H146" start="0" length="2147483647">
    <dxf>
      <font>
        <b val="0"/>
      </font>
    </dxf>
  </rfmt>
  <rfmt sheetId="1" sqref="A146:H146" start="0" length="2147483647">
    <dxf>
      <font>
        <b/>
      </font>
    </dxf>
  </rfmt>
  <rfmt sheetId="1" sqref="A146:H146" start="0" length="2147483647">
    <dxf>
      <font>
        <i val="0"/>
      </font>
    </dxf>
  </rfmt>
  <rfmt sheetId="1" sqref="A146:H146" start="0" length="2147483647">
    <dxf>
      <font>
        <i/>
      </font>
    </dxf>
  </rfmt>
  <rcc rId="1347" sId="1" xfDxf="1" dxf="1">
    <oc r="A131" t="inlineStr">
      <is>
        <t>Основное мероприятие "Расходы, связанные с выполнением деятельности учреждений физической культуры и спорта"</t>
      </is>
    </oc>
    <nc r="A131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B131" t="inlineStr">
      <is>
        <t>09400 00000</t>
      </is>
    </oc>
    <nc r="B131" t="inlineStr">
      <is>
        <t>09401 00000</t>
      </is>
    </nc>
  </rcc>
  <rcc rId="1349" sId="1" xfDxf="1" dxf="1">
    <oc r="A139" t="inlineStr">
      <is>
        <t>Подпрограмма «Другие вопросы в области физической культуры и спорта»</t>
      </is>
    </oc>
    <nc r="A139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9" start="0" length="2147483647">
    <dxf>
      <font>
        <b val="0"/>
      </font>
    </dxf>
  </rfmt>
  <rfmt sheetId="1" sqref="A139" start="0" length="2147483647">
    <dxf>
      <font>
        <b/>
      </font>
    </dxf>
  </rfmt>
  <rfmt sheetId="1" sqref="A139:H139" start="0" length="2147483647">
    <dxf>
      <font>
        <b val="0"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Мун.программы!$A$16:$Q$402</formula>
    <oldFormula>Мун.программы!$A$16:$Q$402</oldFormula>
  </rdn>
  <rcv guid="{DD9A8EC0-978F-40DB-8504-69866F97ABC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2" sId="1" ref="A142:XFD142" action="insert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</rrc>
  <rrc rId="1353" sId="1" ref="A142:XFD142" action="insertRow"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</rrc>
  <rcc rId="1354" sId="1" odxf="1" dxf="1">
    <nc r="A142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355" sId="1" odxf="1" dxf="1">
    <nc r="A14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c rId="1356" sId="1" odxf="1" dxf="1">
    <nc r="B142" t="inlineStr">
      <is>
        <t>09401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42" start="0" length="0">
    <dxf>
      <font>
        <i/>
        <name val="Times New Roman"/>
        <family val="1"/>
      </font>
    </dxf>
  </rfmt>
  <rcc rId="1357" sId="1">
    <nc r="B143" t="inlineStr">
      <is>
        <t>09401 L5760</t>
      </is>
    </nc>
  </rcc>
  <rcc rId="1358" sId="1">
    <nc r="C143" t="inlineStr">
      <is>
        <t>414</t>
      </is>
    </nc>
  </rcc>
  <rcc rId="1359" sId="1" odxf="1" dxf="1">
    <nc r="D14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" sId="1" odxf="1" dxf="1">
    <nc r="E14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1" sId="1" odxf="1" dxf="1">
    <nc r="F1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2" sId="1">
    <nc r="D143" t="inlineStr">
      <is>
        <t>971</t>
      </is>
    </nc>
  </rcc>
  <rcc rId="1363" sId="1">
    <nc r="E143" t="inlineStr">
      <is>
        <t>11</t>
      </is>
    </nc>
  </rcc>
  <rcc rId="1364" sId="1">
    <nc r="F143" t="inlineStr">
      <is>
        <t>05</t>
      </is>
    </nc>
  </rcc>
  <rcc rId="1365" sId="1" odxf="1" dxf="1">
    <nc r="G142">
      <f>G143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6" sId="1" odxf="1" dxf="1">
    <nc r="H142">
      <f>H143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7" sId="1" odxf="1" dxf="1">
    <nc r="G143">
      <f>162708.4+7103.8+853.3</f>
    </nc>
    <odxf>
      <alignment wrapText="0"/>
    </odxf>
    <ndxf>
      <alignment wrapText="1"/>
    </ndxf>
  </rcc>
  <rcc rId="1368" sId="1" odxf="1" dxf="1" numFmtId="4">
    <nc r="H143">
      <v>0</v>
    </nc>
    <odxf>
      <alignment wrapText="0"/>
    </odxf>
    <ndxf>
      <alignment wrapText="1"/>
    </ndxf>
  </rcc>
  <rrc rId="1369" sId="1" ref="A139:XFD139" action="deleteRow">
    <undo index="65535" exp="ref" v="1" dr="H139" r="H113" sId="1"/>
    <undo index="65535" exp="ref" v="1" dr="G139" r="G113" sId="1"/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Основное мероприятие "Приобщение различных групп населения к систематическимзанятиям физической культурой и спортом"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0" sId="1">
    <oc r="G131">
      <f>G132+G135</f>
    </oc>
    <nc r="G131">
      <f>G132+G135+G139+G141</f>
    </nc>
  </rcc>
  <rcc rId="1371" sId="1">
    <oc r="H131">
      <f>H132+H135</f>
    </oc>
    <nc r="H131">
      <f>H132+H135+H139+H141</f>
    </nc>
  </rcc>
  <rcc rId="1372" sId="1">
    <oc r="G130">
      <f>G132+G135</f>
    </oc>
    <nc r="G130">
      <f>G131</f>
    </nc>
  </rcc>
  <rcc rId="1373" sId="1">
    <oc r="H130">
      <f>H132+H135</f>
    </oc>
    <nc r="H130">
      <f>H131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4" sId="1" ref="A93:XFD93" action="insertRow"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undo index="65535" exp="area" ref3D="1" dr="$A$245:$XFD$245" dn="Z_C050815F_608D_4696_BF1D_66B69F749BD0_.wvu.Rows" sId="1"/>
  </rrc>
  <rrc rId="1375" sId="1" ref="A93:XFD93" action="insertRow"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6:$XFD$246" dn="Z_C050815F_608D_4696_BF1D_66B69F749BD0_.wvu.Rows" sId="1"/>
  </rrc>
  <rcc rId="1376" sId="1" xfDxf="1" dxf="1">
    <nc r="A93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7" sId="1" xfDxf="1" dxf="1">
    <nc r="A94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" sId="1" xfDxf="1" dxf="1">
    <nc r="B93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xfDxf="1" dxf="1">
    <nc r="B94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0" sId="1">
    <nc r="C94" t="inlineStr">
      <is>
        <t>540</t>
      </is>
    </nc>
  </rcc>
  <rcc rId="1381" sId="1">
    <nc r="D94" t="inlineStr">
      <is>
        <t>973</t>
      </is>
    </nc>
  </rcc>
  <rcc rId="1382" sId="1">
    <nc r="E94" t="inlineStr">
      <is>
        <t>08</t>
      </is>
    </nc>
  </rcc>
  <rcc rId="1383" sId="1">
    <nc r="F94" t="inlineStr">
      <is>
        <t>01</t>
      </is>
    </nc>
  </rcc>
  <rcc rId="1384" sId="1">
    <nc r="D93" t="inlineStr">
      <is>
        <t>973</t>
      </is>
    </nc>
  </rcc>
  <rcc rId="1385" sId="1">
    <nc r="E93" t="inlineStr">
      <is>
        <t>08</t>
      </is>
    </nc>
  </rcc>
  <rcc rId="1386" sId="1">
    <nc r="F93" t="inlineStr">
      <is>
        <t>01</t>
      </is>
    </nc>
  </rcc>
  <rcc rId="1387" sId="1">
    <nc r="G94">
      <f>53663.7+269.7</f>
    </nc>
  </rcc>
  <rcc rId="1388" sId="1">
    <nc r="G93">
      <f>G94</f>
    </nc>
  </rcc>
  <rcc rId="1389" sId="1">
    <oc r="G90">
      <f>G91+G95</f>
    </oc>
    <nc r="G90">
      <f>G91+G95+G93</f>
    </nc>
  </rcc>
  <rfmt sheetId="1" sqref="B93:H9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2" sId="1" numFmtId="4">
    <oc r="G129">
      <v>32631.1</v>
    </oc>
    <nc r="G129">
      <f>32631.1-4288.1673</f>
    </nc>
  </rcc>
  <rcc rId="1393" sId="1" numFmtId="4">
    <oc r="H129">
      <v>32631.1</v>
    </oc>
    <nc r="H129">
      <f>32631.1-13957.62</f>
    </nc>
  </rcc>
  <rcc rId="1394" sId="1">
    <oc r="G161">
      <f>22427.6+22560.45</f>
    </oc>
    <nc r="G161">
      <f>22427.6</f>
    </nc>
  </rcc>
  <rcc rId="1395" sId="1">
    <oc r="H161">
      <f>22427.6+22560.45</f>
    </oc>
    <nc r="H161">
      <f>22427.6</f>
    </nc>
  </rcc>
  <rcc rId="1396" sId="1" numFmtId="4">
    <oc r="G173">
      <f>54187</f>
    </oc>
    <nc r="G173">
      <v>32512.2</v>
    </nc>
  </rcc>
  <rcc rId="1397" sId="1" numFmtId="4">
    <oc r="H173">
      <f>54187</f>
    </oc>
    <nc r="H173">
      <v>32512.2</v>
    </nc>
  </rcc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0" sId="1">
    <oc r="G115">
      <f>G116+G120+G126+G132+G145+G150+#REF!</f>
    </oc>
    <nc r="G115">
      <f>G116+G120+G126+G132+G145+G150</f>
    </nc>
  </rcc>
  <rcc rId="1401" sId="1">
    <oc r="H115">
      <f>H116+H120+H126+H132+H145+H150+#REF!</f>
    </oc>
    <nc r="H115">
      <f>H116+H120+H126+H132+H145+H150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" sId="1" odxf="1" dxf="1">
    <oc r="A52" t="inlineStr">
      <is>
        <t>Подпрограмма «Градостроительная деятельность по развитию территории Селенгинского район»</t>
      </is>
    </oc>
    <nc r="A5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3" sId="1" odxf="1" dxf="1">
    <oc r="A5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53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rc rId="1404" sId="1" ref="A52:XFD52" action="deleteRow">
    <undo index="65535" exp="ref" v="1" dr="H52" r="H43" sId="1"/>
    <undo index="65535" exp="ref" v="1" dr="G52" r="G43" sId="1"/>
    <undo index="65535" exp="area" ref3D="1" dr="$A$247:$XFD$247" dn="Z_C050815F_608D_4696_BF1D_66B69F749BD0_.wvu.Rows" sId="1"/>
    <undo index="65535" exp="area" ref3D="1" dr="$A$247:$XFD$247" dn="Z_63C81512_0323_449A_8D16_969602EE6D8D_.wvu.Rows" sId="1"/>
    <undo index="65535" exp="area" ref3D="1" dr="$A$224:$XFD$225" dn="Z_63C81512_0323_449A_8D16_969602EE6D8D_.wvu.Rows" sId="1"/>
    <undo index="65535" exp="area" ref3D="1" dr="$A$140:$XFD$140" dn="Z_63C81512_0323_449A_8D16_969602EE6D8D_.wvu.Rows" sId="1"/>
    <undo index="65535" exp="area" ref3D="1" dr="$A$114:$XFD$114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05" sId="1" ref="A52:XFD52" action="deleteRow"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G53+G55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H53+H55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6" sId="1">
    <oc r="B52" t="inlineStr">
      <is>
        <t>04201 L5110</t>
      </is>
    </oc>
    <nc r="B52" t="inlineStr">
      <is>
        <t>04103 L5110</t>
      </is>
    </nc>
  </rcc>
  <rcc rId="1407" sId="1">
    <oc r="B53" t="inlineStr">
      <is>
        <t>04201 L5110</t>
      </is>
    </oc>
    <nc r="B53" t="inlineStr">
      <is>
        <t>04103 L5110</t>
      </is>
    </nc>
  </rcc>
  <rcc rId="1408" sId="1">
    <oc r="B54" t="inlineStr">
      <is>
        <t>04201 S2310</t>
      </is>
    </oc>
    <nc r="B54" t="inlineStr">
      <is>
        <t>04103 S2310</t>
      </is>
    </nc>
  </rcc>
  <rcc rId="1409" sId="1">
    <oc r="B55" t="inlineStr">
      <is>
        <t>04201 S2310</t>
      </is>
    </oc>
    <nc r="B55" t="inlineStr">
      <is>
        <t>04103 S2310</t>
      </is>
    </nc>
  </rcc>
  <rcc rId="1410" sId="1">
    <oc r="G49">
      <f>G50</f>
    </oc>
    <nc r="G49">
      <f>G50+G52+G54</f>
    </nc>
  </rcc>
  <rcc rId="1411" sId="1">
    <oc r="H49">
      <f>H50</f>
    </oc>
    <nc r="H49">
      <f>H50+H52+H54</f>
    </nc>
  </rcc>
  <rcc rId="1412" sId="1">
    <oc r="G43">
      <f>G44+#REF!</f>
    </oc>
    <nc r="G43">
      <f>G44</f>
    </nc>
  </rcc>
  <rcc rId="1413" sId="1">
    <oc r="H43">
      <f>H44+#REF!</f>
    </oc>
    <nc r="H43">
      <f>H44</f>
    </nc>
  </rcc>
  <rcc rId="1414" sId="1">
    <oc r="H53">
      <f>608+38.8+32.3</f>
    </oc>
    <nc r="H53">
      <f>608+38.8+0.02553+32.3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5" sId="1" ref="A91:XFD91" action="deleteRow">
    <undo index="65535" exp="ref" v="1" dr="G91" r="G88" sId="1"/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На 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1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G92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16" sId="1" ref="A91:XFD91" action="delete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  <undo index="65535" exp="area" ref3D="1" dr="$A$137:$XFD$137" dn="Z_63C81512_0323_449A_8D16_969602EE6D8D_.wvu.Rows" sId="1"/>
    <undo index="65535" exp="area" ref3D="1" dr="$A$111:$XFD$111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53663.7+269.7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17" sId="1">
    <oc r="G88">
      <f>G89+G91+#REF!</f>
    </oc>
    <nc r="G88">
      <f>G89+G91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1" numFmtId="30">
    <oc r="D73">
      <v>968</v>
    </oc>
    <nc r="D73" t="inlineStr">
      <is>
        <t>976</t>
      </is>
    </nc>
  </rcc>
  <rcc rId="486" sId="1" numFmtId="30">
    <oc r="D74">
      <v>968</v>
    </oc>
    <nc r="D74" t="inlineStr">
      <is>
        <t>976</t>
      </is>
    </nc>
  </rcc>
  <rcc rId="487" sId="1" numFmtId="30">
    <oc r="D75">
      <v>968</v>
    </oc>
    <nc r="D75" t="inlineStr">
      <is>
        <t>976</t>
      </is>
    </nc>
  </rcc>
  <rcc rId="488" sId="1" numFmtId="30">
    <oc r="D76">
      <v>968</v>
    </oc>
    <nc r="D76" t="inlineStr">
      <is>
        <t>976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C237" t="inlineStr">
      <is>
        <t>622</t>
      </is>
    </oc>
    <nc r="C237" t="inlineStr">
      <is>
        <t>414</t>
      </is>
    </nc>
  </rcc>
  <rcc rId="1419" sId="1">
    <oc r="C239" t="inlineStr">
      <is>
        <t>622</t>
      </is>
    </oc>
    <nc r="C239" t="inlineStr">
      <is>
        <t>414</t>
      </is>
    </nc>
  </rcc>
  <rcc rId="1420" sId="1">
    <oc r="C242" t="inlineStr">
      <is>
        <t>621</t>
      </is>
    </oc>
    <nc r="C242" t="inlineStr">
      <is>
        <t>244</t>
      </is>
    </nc>
  </rcc>
  <rcc rId="1421" sId="1">
    <oc r="C244" t="inlineStr">
      <is>
        <t>622</t>
      </is>
    </oc>
    <nc r="C244" t="inlineStr">
      <is>
        <t>244</t>
      </is>
    </nc>
  </rcc>
  <rcc rId="1422" sId="1" odxf="1" dxf="1">
    <oc r="A237" t="inlineStr">
      <is>
        <t>Субсидии автономным учреждениям на иные цели</t>
      </is>
    </oc>
    <nc r="A23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423" sId="1" odxf="1" dxf="1">
    <oc r="A239" t="inlineStr">
      <is>
        <t>Субсидии автономным учреждениям на иные цели</t>
      </is>
    </oc>
    <nc r="A23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1424" sId="1" odxf="1" dxf="1">
    <o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425" sId="1" odxf="1" dxf="1">
    <oc r="A244" t="inlineStr">
      <is>
        <t>Субсидии автономным учреждениям на иные цели</t>
      </is>
    </oc>
    <nc r="A24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" sId="1" ref="A139:XFD139" action="deleteRow">
    <undo index="65535" exp="ref" v="1" dr="H139" r="H129" sId="1"/>
    <undo index="65535" exp="ref" v="1" dr="G139" r="G129" sId="1"/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Обеспечение комплексного развития сельских территорий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7" sId="1" ref="A139:XFD139" action="delete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162708.4+7103.8+853.3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28" sId="1">
    <oc r="G129">
      <f>G130+G133+G137+#REF!</f>
    </oc>
    <nc r="G129">
      <f>G130+G133+G137</f>
    </nc>
  </rcc>
  <rcc rId="1429" sId="1">
    <oc r="H129">
      <f>H130+H133+H137+#REF!</f>
    </oc>
    <nc r="H129">
      <f>H130+H133+H137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0" sId="1">
    <oc r="G63">
      <f>1668.7+34.1</f>
    </oc>
    <nc r="G63">
      <f>1668.7+34.14391</f>
    </nc>
  </rcc>
  <rcc rId="1431" sId="1">
    <oc r="H63">
      <f>3010.8+61.4</f>
    </oc>
    <nc r="H63">
      <f>3010.8+61.4449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odxf="1" dxf="1" numFmtId="4">
    <oc r="G199">
      <v>5578</v>
    </oc>
    <nc r="G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33" sId="1" odxf="1" dxf="1" numFmtId="4">
    <oc r="H199">
      <v>5578</v>
    </oc>
    <nc r="H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" sId="1">
    <oc r="G258">
      <f>16520.2+337.1+16.8573</f>
    </oc>
    <nc r="G258">
      <f>16520.17645+337.14644+16.8573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5" sId="1">
    <oc r="G142">
      <f>1746.2+350</f>
    </oc>
    <nc r="G142">
      <f>1746.15099+350</f>
    </nc>
  </rcc>
  <rcc rId="1436" sId="1">
    <oc r="H142">
      <f>1746.2+350</f>
    </oc>
    <nc r="H142">
      <f>1746.15099+350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" sId="1" numFmtId="4">
    <oc r="G134">
      <v>2462.9</v>
    </oc>
    <nc r="G134">
      <f>2462.9+689.7</f>
    </nc>
  </rcc>
  <rcc rId="1438" sId="1" numFmtId="4">
    <oc r="G135">
      <v>743.8</v>
    </oc>
    <nc r="G135">
      <f>743.8+208.3</f>
    </nc>
  </rcc>
  <rcc rId="1439" sId="1" numFmtId="4">
    <oc r="H135">
      <v>743.8</v>
    </oc>
    <nc r="H135">
      <f>743.8+208.3</f>
    </nc>
  </rcc>
  <rcc rId="1440" sId="1" numFmtId="4">
    <oc r="H134">
      <v>2462.9</v>
    </oc>
    <nc r="H134">
      <f>2462.9+689.7</f>
    </nc>
  </rcc>
  <rcc rId="1441" sId="1">
    <oc r="G120">
      <f>676.8+1954.4+689.7</f>
    </oc>
    <nc r="G120">
      <f>676.8+1954.4</f>
    </nc>
  </rcc>
  <rcc rId="1442" sId="1">
    <oc r="H120">
      <f>676.8+1954.4+689.7</f>
    </oc>
    <nc r="H120">
      <f>676.8+1954.4</f>
    </nc>
  </rcc>
  <rcc rId="1443" sId="1">
    <oc r="H121">
      <f>204.4+590.2+208.3</f>
    </oc>
    <nc r="H121">
      <f>204.4+590.2</f>
    </nc>
  </rcc>
  <rcc rId="1444" sId="1">
    <oc r="G121">
      <f>204.4+590.2+208.3</f>
    </oc>
    <nc r="G121">
      <f>204.4+590.2</f>
    </nc>
  </rcc>
  <rcv guid="{DD9A8EC0-978F-40DB-8504-69866F97ABC3}" action="delete"/>
  <rdn rId="0" localSheetId="1" customView="1" name="Z_DD9A8EC0_978F_40DB_8504_69866F97ABC3_.wvu.PrintArea" hidden="1" oldHidden="1">
    <formula>Мун.программы!$A$1:$H$263</formula>
    <oldFormula>Мун.программы!$A$1:$H$263</oldFormula>
  </rdn>
  <rdn rId="0" localSheetId="1" customView="1" name="Z_DD9A8EC0_978F_40DB_8504_69866F97ABC3_.wvu.FilterData" hidden="1" oldHidden="1">
    <formula>Мун.программы!$A$16:$Q$399</formula>
    <oldFormula>Мун.программы!$A$16:$Q$399</oldFormula>
  </rdn>
  <rcv guid="{DD9A8EC0-978F-40DB-8504-69866F97ABC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7" sId="1" numFmtId="4">
    <oc r="G274">
      <v>1366016.7973</v>
    </oc>
    <nc r="G274">
      <v>1326395.6277900001</v>
    </nc>
  </rcc>
  <rcc rId="1448" sId="1" numFmtId="4">
    <oc r="H274">
      <v>1254129.3999999999</v>
    </oc>
    <nc r="H274">
      <v>1213696.89142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>
    <oc r="C246" t="inlineStr">
      <is>
        <t>244</t>
      </is>
    </oc>
    <nc r="C246" t="inlineStr">
      <is>
        <t>360</t>
      </is>
    </nc>
  </rcc>
  <rcc rId="1451" sId="1">
    <oc r="A246" t="inlineStr">
      <is>
        <t>Прочая закупка товаров, работ и услуг для обеспечения государственных (муниципальных) нужд</t>
      </is>
    </oc>
    <nc r="A246" t="inlineStr">
      <is>
        <t>Иные выплаты населению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2" sId="1" numFmtId="4">
    <oc r="G240">
      <f>16733.39-590</f>
    </oc>
    <nc r="G240">
      <v>16733.39</v>
    </nc>
  </rcc>
  <rcc rId="1453" sId="1" numFmtId="4">
    <oc r="H240">
      <f>17764.55-590</f>
    </oc>
    <nc r="H240">
      <v>17764.55</v>
    </nc>
  </rcc>
  <rcc rId="1454" sId="1">
    <oc r="G239">
      <f>590</f>
    </oc>
    <nc r="G239"/>
  </rcc>
  <rcc rId="1455" sId="1">
    <oc r="H239">
      <f>590</f>
    </oc>
    <nc r="H239"/>
  </rcc>
  <rrc rId="1456" sId="1" ref="A239:XFD239" action="deleteRow">
    <undo index="65535" exp="area" dr="H239:H240" r="H238" sId="1"/>
    <undo index="65535" exp="area" dr="G239:G240" r="G238" sId="1"/>
    <undo index="65535" exp="area" ref3D="1" dr="$A$241:$XFD$241" dn="Z_C050815F_608D_4696_BF1D_66B69F749BD0_.wvu.Rows" sId="1"/>
    <undo index="65535" exp="area" ref3D="1" dr="$A$241:$XFD$241" dn="Z_63C81512_0323_449A_8D16_969602EE6D8D_.wvu.Rows" sId="1"/>
    <rfmt sheetId="1" xfDxf="1" sqref="A239:XFD239" start="0" length="0">
      <dxf>
        <font>
          <i/>
          <name val="Times New Roman CYR"/>
          <family val="1"/>
        </font>
        <alignment wrapText="1"/>
      </dxf>
    </rfmt>
    <rcc rId="0" sId="1" dxf="1">
      <nc r="A239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9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9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6:H1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" sId="1">
    <oc r="C241" t="inlineStr">
      <is>
        <t>244</t>
      </is>
    </oc>
    <nc r="C241" t="inlineStr">
      <is>
        <t>414</t>
      </is>
    </nc>
  </rcc>
  <rcc rId="1458" sId="1" odxf="1" dxf="1">
    <oc r="A241" t="inlineStr">
      <is>
        <t>Прочие закупки товаров, работ и услуг для государственных (муниципальных) нужд</t>
      </is>
    </oc>
    <nc r="A2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>
    <oc r="G257">
      <f>16520.17645+337.14644+16.8573</f>
    </oc>
    <nc r="G257">
      <f>16520.17645+337.14644+16.8573+0.0169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0" sId="1" odxf="1" dxf="1">
    <oc r="A61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61" t="inlineStr">
      <is>
        <t>Основное мероприятие "Проведение ежегодного совещания по подведению итогов работы АПК за отчетный год"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1" sId="1" odxf="1" dxf="1">
    <oc r="B61" t="inlineStr">
      <is>
        <t>06004 00000</t>
      </is>
    </oc>
    <nc r="B61" t="inlineStr">
      <is>
        <t>06010 00000</t>
      </is>
    </nc>
    <ndxf>
      <fill>
        <patternFill patternType="solid">
          <bgColor theme="0"/>
        </patternFill>
      </fill>
    </ndxf>
  </rcc>
  <rfmt sheetId="1" sqref="C61" start="0" length="0">
    <dxf>
      <fill>
        <patternFill patternType="solid">
          <bgColor theme="0"/>
        </patternFill>
      </fill>
    </dxf>
  </rfmt>
  <rfmt sheetId="1" sqref="D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62" sId="1" odxf="1" dxf="1">
    <oc r="E61" t="inlineStr">
      <is>
        <t>10</t>
      </is>
    </oc>
    <nc r="E6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3" sId="1" odxf="1" dxf="1">
    <oc r="F61" t="inlineStr">
      <is>
        <t>03</t>
      </is>
    </oc>
    <nc r="F6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4" sId="1" odxf="1" dxf="1">
    <oc r="G61">
      <f>G62</f>
    </oc>
    <nc r="G61">
      <f>G62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5" sId="1" odxf="1" dxf="1">
    <oc r="A62" t="inlineStr">
      <is>
        <t>Обеспечение комплексного развития сельских территорий</t>
      </is>
    </oc>
    <nc r="A6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odxf="1" dxf="1">
    <oc r="B62" t="inlineStr">
      <is>
        <t>06004 L5760</t>
      </is>
    </oc>
    <nc r="B62" t="inlineStr">
      <is>
        <t>06010 82900</t>
      </is>
    </nc>
    <ndxf>
      <fill>
        <patternFill patternType="solid">
          <bgColor theme="0"/>
        </patternFill>
      </fill>
    </ndxf>
  </rcc>
  <rfmt sheetId="1" sqref="C62" start="0" length="0">
    <dxf>
      <fill>
        <patternFill patternType="solid">
          <bgColor theme="0"/>
        </patternFill>
      </fill>
    </dxf>
  </rfmt>
  <rfmt sheetId="1" sqref="D62" start="0" length="0">
    <dxf>
      <fill>
        <patternFill patternType="solid">
          <bgColor theme="0"/>
        </patternFill>
      </fill>
    </dxf>
  </rfmt>
  <rcc rId="1467" sId="1" odxf="1" dxf="1">
    <oc r="E62" t="inlineStr">
      <is>
        <t>10</t>
      </is>
    </oc>
    <nc r="E6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8" sId="1" odxf="1" dxf="1">
    <oc r="F62" t="inlineStr">
      <is>
        <t>03</t>
      </is>
    </oc>
    <nc r="F6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9" sId="1" odxf="1" dxf="1">
    <oc r="G62">
      <f>G63</f>
    </oc>
    <nc r="G62">
      <f>G63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70" sId="1" odxf="1" dxf="1">
    <oc r="A63" t="inlineStr">
      <is>
        <t>Субсидии гражданам на приобретение жилья</t>
      </is>
    </oc>
    <nc r="A6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9"/>
        </patternFill>
      </fill>
    </ndxf>
  </rcc>
  <rcc rId="1471" sId="1" odxf="1" dxf="1">
    <oc r="B63" t="inlineStr">
      <is>
        <t>06004 L5760</t>
      </is>
    </oc>
    <nc r="B63" t="inlineStr">
      <is>
        <t>06010 82900</t>
      </is>
    </nc>
    <ndxf>
      <font>
        <i val="0"/>
        <name val="Times New Roman"/>
        <family val="1"/>
      </font>
    </ndxf>
  </rcc>
  <rcc rId="1472" sId="1">
    <oc r="C63" t="inlineStr">
      <is>
        <t>322</t>
      </is>
    </oc>
    <nc r="C63" t="inlineStr">
      <is>
        <t>244</t>
      </is>
    </nc>
  </rcc>
  <rcc rId="1473" sId="1">
    <oc r="E63" t="inlineStr">
      <is>
        <t>10</t>
      </is>
    </oc>
    <nc r="E63" t="inlineStr">
      <is>
        <t>04</t>
      </is>
    </nc>
  </rcc>
  <rcc rId="1474" sId="1">
    <oc r="F63" t="inlineStr">
      <is>
        <t>03</t>
      </is>
    </oc>
    <nc r="F63" t="inlineStr">
      <is>
        <t>05</t>
      </is>
    </nc>
  </rcc>
  <rcc rId="1475" sId="1" odxf="1" dxf="1" numFmtId="4">
    <oc r="G63">
      <f>1668.7+34.14391</f>
    </oc>
    <nc r="G63">
      <v>100</v>
    </nc>
    <odxf>
      <alignment wrapText="1"/>
    </odxf>
    <ndxf>
      <alignment wrapText="0"/>
    </ndxf>
  </rcc>
  <rcc rId="1476" sId="1" numFmtId="4">
    <oc r="H63">
      <f>3010.8+61.4449</f>
    </oc>
    <nc r="H63">
      <v>100</v>
    </nc>
  </rcc>
  <rrc rId="1477" sId="1" ref="A64:XFD66" action="insertRow">
    <undo index="65535" exp="area" ref3D="1" dr="$A$240:$XFD$240" dn="Z_63C81512_0323_449A_8D16_969602EE6D8D_.wvu.Rows" sId="1"/>
    <undo index="65535" exp="area" ref3D="1" dr="$A$218:$XFD$219" dn="Z_63C81512_0323_449A_8D16_969602EE6D8D_.wvu.Rows" sId="1"/>
    <undo index="65535" exp="area" ref3D="1" dr="$A$136:$XFD$136" dn="Z_63C81512_0323_449A_8D16_969602EE6D8D_.wvu.Rows" sId="1"/>
    <undo index="65535" exp="area" ref3D="1" dr="$A$110:$XFD$110" dn="Z_63C81512_0323_449A_8D16_969602EE6D8D_.wvu.Rows" sId="1"/>
    <undo index="65535" exp="area" ref3D="1" dr="$A$240:$XFD$240" dn="Z_C050815F_608D_4696_BF1D_66B69F749BD0_.wvu.Rows" sId="1"/>
  </rrc>
  <rrc rId="1478" sId="1" ref="A64:XFD68" action="insertRow">
    <undo index="65535" exp="area" ref3D="1" dr="$A$243:$XFD$243" dn="Z_63C81512_0323_449A_8D16_969602EE6D8D_.wvu.Rows" sId="1"/>
    <undo index="65535" exp="area" ref3D="1" dr="$A$221:$XFD$222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3:$XFD$243" dn="Z_C050815F_608D_4696_BF1D_66B69F749BD0_.wvu.Rows" sId="1"/>
  </rrc>
  <rcc rId="1479" sId="1" odxf="1" dxf="1">
    <nc r="A64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80" sId="1" odxf="1" dxf="1">
    <nc r="B64" t="inlineStr">
      <is>
        <t>06032 00000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" start="0" length="0">
    <dxf>
      <font>
        <i/>
        <name val="Times New Roman"/>
        <family val="1"/>
      </font>
    </dxf>
  </rfmt>
  <rcc rId="1481" sId="1" odxf="1" dxf="1">
    <nc r="D6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" sId="1" odxf="1" dxf="1">
    <nc r="E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3" sId="1" odxf="1" dxf="1">
    <nc r="F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4" sId="1" odxf="1" dxf="1">
    <nc r="G64">
      <f>G65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5" sId="1" odxf="1" dxf="1">
    <nc r="A65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486" sId="1" odxf="1" dxf="1">
    <nc r="B65" t="inlineStr">
      <is>
        <t>06032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5" start="0" length="0">
    <dxf>
      <font>
        <i/>
        <name val="Times New Roman"/>
        <family val="1"/>
      </font>
    </dxf>
  </rfmt>
  <rcc rId="1487" sId="1" odxf="1" dxf="1">
    <nc r="D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E6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F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G65">
      <f>G66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1" sId="1" odxf="1" dxf="1">
    <nc r="A6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92" sId="1">
    <nc r="B66" t="inlineStr">
      <is>
        <t>06032 L5760</t>
      </is>
    </nc>
  </rcc>
  <rcc rId="1493" sId="1">
    <nc r="C66" t="inlineStr">
      <is>
        <t>414</t>
      </is>
    </nc>
  </rcc>
  <rcc rId="1494" sId="1">
    <nc r="D66" t="inlineStr">
      <is>
        <t>971</t>
      </is>
    </nc>
  </rcc>
  <rcc rId="1495" sId="1">
    <nc r="E66" t="inlineStr">
      <is>
        <t>08</t>
      </is>
    </nc>
  </rcc>
  <rcc rId="1496" sId="1">
    <nc r="F66" t="inlineStr">
      <is>
        <t>01</t>
      </is>
    </nc>
  </rcc>
  <rcc rId="1497" sId="1" odxf="1" dxf="1">
    <nc r="H64">
      <f>H65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498" sId="1" odxf="1" dxf="1">
    <nc r="H65">
      <f>H66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66" start="0" length="0">
    <dxf>
      <alignment wrapText="0"/>
    </dxf>
  </rfmt>
  <rcc rId="1499" sId="1" numFmtId="4">
    <nc r="H66">
      <v>0</v>
    </nc>
  </rcc>
  <rcc rId="1500" sId="1" numFmtId="4">
    <nc r="G66">
      <v>53933.37</v>
    </nc>
  </rcc>
  <rrc rId="1501" sId="1" ref="A64:XFD64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cc rId="1502" sId="1" odxf="1" dxf="1">
    <nc r="A6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503" sId="1" odxf="1" dxf="1">
    <nc r="B64" t="inlineStr">
      <is>
        <t>06030 00000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" start="0" length="0">
    <dxf>
      <font>
        <b/>
        <name val="Times New Roman"/>
        <family val="1"/>
      </font>
    </dxf>
  </rfmt>
  <rcc rId="1504" sId="1" odxf="1" dxf="1">
    <nc r="D64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5" sId="1" odxf="1" dxf="1">
    <nc r="E6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6" sId="1" odxf="1" dxf="1">
    <nc r="F6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4" start="0" length="0">
    <dxf>
      <font>
        <b/>
        <name val="Times New Roman"/>
        <family val="1"/>
      </font>
    </dxf>
  </rfmt>
  <rfmt sheetId="1" sqref="A64:G64" start="0" length="2147483647">
    <dxf>
      <font>
        <b val="0"/>
      </font>
    </dxf>
  </rfmt>
  <rfmt sheetId="1" sqref="A64:H64" start="0" length="2147483647">
    <dxf>
      <font>
        <i/>
      </font>
    </dxf>
  </rfmt>
  <rcc rId="1507" sId="1">
    <nc r="H64">
      <f>H65</f>
    </nc>
  </rcc>
  <rcc rId="1508" sId="1" odxf="1" dxf="1">
    <nc r="A68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09" sId="1" odxf="1" dxf="1">
    <nc r="B68" t="inlineStr">
      <is>
        <t>06035 00000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8" start="0" length="0">
    <dxf>
      <font>
        <i/>
        <name val="Times New Roman"/>
        <family val="1"/>
      </font>
    </dxf>
  </rfmt>
  <rcc rId="1510" sId="1" odxf="1" dxf="1">
    <nc r="D68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1" sId="1" odxf="1" dxf="1">
    <nc r="E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2" sId="1" odxf="1" dxf="1">
    <nc r="F6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3" sId="1" odxf="1" dxf="1">
    <nc r="G68">
      <f>G69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4" sId="1" odxf="1" dxf="1">
    <nc r="A69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15" sId="1" odxf="1" dxf="1">
    <nc r="B69" t="inlineStr">
      <is>
        <t>06035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9" start="0" length="0">
    <dxf>
      <font>
        <i/>
        <name val="Times New Roman"/>
        <family val="1"/>
      </font>
    </dxf>
  </rfmt>
  <rcc rId="1516" sId="1" odxf="1" dxf="1">
    <nc r="D6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7" sId="1" odxf="1" dxf="1">
    <nc r="E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8" sId="1" odxf="1" dxf="1">
    <nc r="F6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9" sId="1" odxf="1" dxf="1">
    <nc r="G69">
      <f>G70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0" sId="1" odxf="1" dxf="1">
    <nc r="A7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21" sId="1">
    <nc r="B70" t="inlineStr">
      <is>
        <t>06035 L5760</t>
      </is>
    </nc>
  </rcc>
  <rcc rId="1522" sId="1">
    <nc r="C70" t="inlineStr">
      <is>
        <t>414</t>
      </is>
    </nc>
  </rcc>
  <rcc rId="1523" sId="1">
    <nc r="D70" t="inlineStr">
      <is>
        <t>971</t>
      </is>
    </nc>
  </rcc>
  <rcc rId="1524" sId="1">
    <nc r="E70" t="inlineStr">
      <is>
        <t>11</t>
      </is>
    </nc>
  </rcc>
  <rcc rId="1525" sId="1">
    <nc r="F70" t="inlineStr">
      <is>
        <t>02</t>
      </is>
    </nc>
  </rcc>
  <rcc rId="1526" sId="1" numFmtId="4">
    <nc r="G70">
      <v>170665.52</v>
    </nc>
  </rcc>
  <rcc rId="1527" sId="1" odxf="1" dxf="1">
    <nc r="H68">
      <f>H69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28" sId="1" odxf="1" dxf="1">
    <nc r="H69">
      <f>H70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0" start="0" length="0">
    <dxf>
      <alignment wrapText="0"/>
    </dxf>
  </rfmt>
  <rcc rId="1529" sId="1" numFmtId="4">
    <nc r="H70">
      <v>0</v>
    </nc>
  </rcc>
  <rcc rId="1530" sId="1" odxf="1" dxf="1">
    <nc r="A71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31" sId="1" odxf="1" dxf="1">
    <nc r="B71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1532" sId="1" odxf="1" dxf="1">
    <nc r="D7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3" sId="1" odxf="1" dxf="1">
    <nc r="E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4" sId="1" odxf="1" dxf="1">
    <nc r="F7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5" sId="1" odxf="1" dxf="1">
    <nc r="G71">
      <f>G72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6" sId="1" odxf="1" dxf="1">
    <nc r="A72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37" sId="1" odxf="1" dxf="1">
    <nc r="B72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2" start="0" length="0">
    <dxf>
      <font>
        <i/>
        <name val="Times New Roman"/>
        <family val="1"/>
      </font>
    </dxf>
  </rfmt>
  <rcc rId="1538" sId="1" odxf="1" dxf="1">
    <nc r="D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9" sId="1" odxf="1" dxf="1">
    <nc r="E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0" sId="1" odxf="1" dxf="1">
    <nc r="F7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1" sId="1" odxf="1" dxf="1">
    <nc r="G72">
      <f>G73+G74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2" sId="1" odxf="1" dxf="1">
    <oc r="A73" t="inlineStr">
      <is>
        <t>Основное мероприятие "Проведение ежегодного совещания по подведению итогов работы АПК за отчетный год"</t>
      </is>
    </oc>
    <nc r="A73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3" sId="1" odxf="1" dxf="1">
    <oc r="B73" t="inlineStr">
      <is>
        <t>06007 00000</t>
      </is>
    </oc>
    <nc r="B73" t="inlineStr">
      <is>
        <t>06036 L5760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4" sId="1" odxf="1" dxf="1">
    <nc r="C73" t="inlineStr">
      <is>
        <t>540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5" sId="1" odxf="1" dxf="1">
    <oc r="D73" t="inlineStr">
      <is>
        <t>976</t>
      </is>
    </oc>
    <nc r="D73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6" sId="1" odxf="1" dxf="1">
    <oc r="E73" t="inlineStr">
      <is>
        <t>04</t>
      </is>
    </oc>
    <nc r="E73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7" sId="1" odxf="1" dxf="1">
    <oc r="F73" t="inlineStr">
      <is>
        <t>05</t>
      </is>
    </oc>
    <nc r="F73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48" sId="1" odxf="1" dxf="1">
    <oc r="A74" t="inlineStr">
      <is>
        <t>Прочие мероприятия , связанные с выполнением обязательств ОМСУ</t>
      </is>
    </oc>
    <nc r="A74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9" sId="1" odxf="1" dxf="1">
    <oc r="B74" t="inlineStr">
      <is>
        <t>06007 82900</t>
      </is>
    </oc>
    <nc r="B74" t="inlineStr">
      <is>
        <t>06036 L5760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0" sId="1" odxf="1" dxf="1">
    <nc r="C74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1" sId="1" odxf="1" dxf="1">
    <oc r="D74" t="inlineStr">
      <is>
        <t>976</t>
      </is>
    </oc>
    <nc r="D74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2" sId="1" odxf="1" dxf="1">
    <oc r="E74" t="inlineStr">
      <is>
        <t>04</t>
      </is>
    </oc>
    <nc r="E74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3" sId="1" odxf="1" dxf="1">
    <oc r="F74" t="inlineStr">
      <is>
        <t>05</t>
      </is>
    </oc>
    <nc r="F74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rc rId="1554" sId="1" ref="A75:XFD75" action="deleteRow">
    <undo index="65535" exp="ref" v="1" dr="H75" r="H74" sId="1"/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  <rfmt sheetId="1" xfDxf="1" sqref="A75:XFD75" start="0" length="0">
      <dxf>
        <font>
          <b/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06007 82900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55" sId="1" numFmtId="4">
    <oc r="G73">
      <f>G74</f>
    </oc>
    <nc r="G73">
      <v>48032.75</v>
    </nc>
  </rcc>
  <rcc rId="1556" sId="1" numFmtId="4">
    <oc r="G74">
      <f>G75</f>
    </oc>
    <nc r="G74">
      <v>56365.029000000002</v>
    </nc>
  </rcc>
  <rcc rId="1557" sId="1">
    <nc r="G64">
      <f>G65+G68+G71</f>
    </nc>
  </rcc>
  <rcc rId="1558" sId="1" odxf="1" dxf="1">
    <nc r="H71">
      <f>H72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59" sId="1" odxf="1" dxf="1">
    <nc r="H72">
      <f>H73+H74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H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60" sId="1" numFmtId="4">
    <oc r="H74">
      <f>#REF!</f>
    </oc>
    <nc r="H74">
      <v>0</v>
    </nc>
  </rcc>
  <rcc rId="1561" sId="1" numFmtId="4">
    <oc r="H73">
      <f>H74</f>
    </oc>
    <nc r="H73">
      <v>0</v>
    </nc>
  </rcc>
  <rrc rId="1562" sId="1" ref="A75:XFD75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rc rId="1563" sId="1" ref="A75:XFD75" action="insertRow"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</rrc>
  <rrc rId="1564" sId="1" ref="A75:XFD75" action="insertRow">
    <undo index="65535" exp="area" ref3D="1" dr="$A$250:$XFD$250" dn="Z_63C81512_0323_449A_8D16_969602EE6D8D_.wvu.Rows" sId="1"/>
    <undo index="65535" exp="area" ref3D="1" dr="$A$228:$XFD$229" dn="Z_63C81512_0323_449A_8D16_969602EE6D8D_.wvu.Rows" sId="1"/>
    <undo index="65535" exp="area" ref3D="1" dr="$A$146:$XFD$146" dn="Z_63C81512_0323_449A_8D16_969602EE6D8D_.wvu.Rows" sId="1"/>
    <undo index="65535" exp="area" ref3D="1" dr="$A$120:$XFD$120" dn="Z_63C81512_0323_449A_8D16_969602EE6D8D_.wvu.Rows" sId="1"/>
    <undo index="65535" exp="area" ref3D="1" dr="$A$250:$XFD$250" dn="Z_C050815F_608D_4696_BF1D_66B69F749BD0_.wvu.Rows" sId="1"/>
  </rrc>
  <rrc rId="1565" sId="1" ref="A75:XFD75" action="insertRow"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  <undo index="65535" exp="area" ref3D="1" dr="$A$251:$XFD$251" dn="Z_C050815F_608D_4696_BF1D_66B69F749BD0_.wvu.Rows" sId="1"/>
  </rrc>
  <rcc rId="1566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67" sId="1" odxf="1" dxf="1">
    <nc r="B75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5" start="0" length="0">
    <dxf>
      <font>
        <i/>
        <name val="Times New Roman"/>
        <family val="1"/>
      </font>
    </dxf>
  </rfmt>
  <rcc rId="1568" sId="1" odxf="1" dxf="1">
    <nc r="D7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69" sId="1" odxf="1" dxf="1">
    <nc r="E7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0" sId="1" odxf="1" dxf="1">
    <nc r="F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1" sId="1" odxf="1" dxf="1">
    <nc r="G75">
      <f>G76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2" sId="1" odxf="1" dxf="1">
    <nc r="A76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73" sId="1" odxf="1" dxf="1">
    <nc r="B76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6" start="0" length="0">
    <dxf>
      <font>
        <i/>
        <name val="Times New Roman"/>
        <family val="1"/>
      </font>
    </dxf>
  </rfmt>
  <rcc rId="1574" sId="1" odxf="1" dxf="1">
    <nc r="D7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5" sId="1" odxf="1" dxf="1">
    <nc r="E7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6" sId="1" odxf="1" dxf="1">
    <nc r="F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7" sId="1" odxf="1" dxf="1">
    <nc r="G76">
      <f>G77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8" sId="1">
    <nc r="A77" t="inlineStr">
      <is>
        <t>Субсидии гражданам на приобретение жилья</t>
      </is>
    </nc>
  </rcc>
  <rcc rId="1579" sId="1">
    <nc r="B77" t="inlineStr">
      <is>
        <t>06040 L5760</t>
      </is>
    </nc>
  </rcc>
  <rcc rId="1580" sId="1">
    <nc r="C77" t="inlineStr">
      <is>
        <t>322</t>
      </is>
    </nc>
  </rcc>
  <rcc rId="1581" sId="1">
    <nc r="D77" t="inlineStr">
      <is>
        <t>976</t>
      </is>
    </nc>
  </rcc>
  <rcc rId="1582" sId="1">
    <nc r="E77" t="inlineStr">
      <is>
        <t>10</t>
      </is>
    </nc>
  </rcc>
  <rcc rId="1583" sId="1">
    <nc r="F77" t="inlineStr">
      <is>
        <t>03</t>
      </is>
    </nc>
  </rcc>
  <rcc rId="1584" sId="1" odxf="1" dxf="1">
    <nc r="H75">
      <f>H76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5" sId="1" odxf="1" dxf="1">
    <nc r="H76">
      <f>H77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1586" sId="1" ref="A78:XFD78" action="deleteRow">
    <undo index="65535" exp="area" ref3D="1" dr="$A$252:$XFD$252" dn="Z_63C81512_0323_449A_8D16_969602EE6D8D_.wvu.Rows" sId="1"/>
    <undo index="65535" exp="area" ref3D="1" dr="$A$230:$XFD$231" dn="Z_63C81512_0323_449A_8D16_969602EE6D8D_.wvu.Rows" sId="1"/>
    <undo index="65535" exp="area" ref3D="1" dr="$A$148:$XFD$148" dn="Z_63C81512_0323_449A_8D16_969602EE6D8D_.wvu.Rows" sId="1"/>
    <undo index="65535" exp="area" ref3D="1" dr="$A$122:$XFD$122" dn="Z_63C81512_0323_449A_8D16_969602EE6D8D_.wvu.Rows" sId="1"/>
    <undo index="65535" exp="area" ref3D="1" dr="$A$252:$XFD$252" dn="Z_C050815F_608D_4696_BF1D_66B69F749BD0_.wvu.Rows" sId="1"/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87" sId="1" numFmtId="4">
    <nc r="G77">
      <v>1702.8439100000001</v>
    </nc>
  </rcc>
  <rcc rId="1588" sId="1">
    <oc r="G60">
      <f>G73+G61</f>
    </oc>
    <nc r="G60">
      <f>G61+G64+G75</f>
    </nc>
  </rcc>
  <rcc rId="1589" sId="1">
    <oc r="H60">
      <f>H73+H61</f>
    </oc>
    <nc r="H60">
      <f>H61+H64+H75</f>
    </nc>
  </rcc>
  <rcc rId="1590" sId="1">
    <oc r="G279">
      <f>1145762.85-78614.2</f>
    </oc>
    <nc r="G279"/>
  </rcc>
  <rcc rId="1591" sId="1">
    <oc r="H279">
      <f>1183146.81-78613</f>
    </oc>
    <nc r="H279"/>
  </rcc>
  <rcc rId="1592" sId="1">
    <oc r="G281">
      <f>G273-G279</f>
    </oc>
    <nc r="G281"/>
  </rcc>
  <rcc rId="1593" sId="1">
    <oc r="H281">
      <f>H273-H279</f>
    </oc>
    <nc r="H281"/>
  </rcc>
  <rcc rId="1594" sId="1" numFmtId="4">
    <oc r="G284">
      <v>1326395.6277900001</v>
    </oc>
    <nc r="G284"/>
  </rcc>
  <rcc rId="1595" sId="1" numFmtId="4">
    <oc r="H284">
      <v>1213696.89142</v>
    </oc>
    <nc r="H284"/>
  </rcc>
  <rcc rId="1596" sId="1">
    <oc r="G286">
      <f>G273-G284</f>
    </oc>
    <nc r="G286"/>
  </rcc>
  <rcc rId="1597" sId="1">
    <oc r="H286">
      <f>H273-H284</f>
    </oc>
    <nc r="H286"/>
  </rcc>
  <rcc rId="1598" sId="1" numFmtId="4">
    <oc r="G275">
      <v>793384.19</v>
    </oc>
    <nc r="G275">
      <v>1646490.04369</v>
    </nc>
  </rcc>
  <rcc rId="1599" sId="1">
    <oc r="G277">
      <f>G273-G275</f>
    </oc>
    <nc r="G277">
      <f>G273-G275</f>
    </nc>
  </rcc>
  <rcc rId="1600" sId="1">
    <oc r="H277">
      <f>H273-H275</f>
    </oc>
    <nc r="H277">
      <f>H273-H275</f>
    </nc>
  </rcc>
  <rcc rId="1601" sId="1" numFmtId="4">
    <oc r="H275">
      <v>832964.45</v>
    </oc>
    <nc r="H275">
      <v>1195936.5114200001</v>
    </nc>
  </rcc>
  <rcc rId="1602" sId="1" numFmtId="4">
    <nc r="H77">
      <v>3072.2449000000001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C77" t="inlineStr">
      <is>
        <t>322</t>
      </is>
    </oc>
    <nc r="C77" t="inlineStr">
      <is>
        <t>244</t>
      </is>
    </nc>
  </rcc>
  <rcc rId="1604" sId="1" odxf="1" dxf="1">
    <oc r="A77" t="inlineStr">
      <is>
        <t>Субсидии гражданам на приобретение жилья</t>
      </is>
    </oc>
    <nc r="A7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5" sId="1" ref="A56:XFD64" action="insertRow">
    <undo index="65535" exp="area" ref3D="1" dr="$A$251:$XFD$251" dn="Z_C050815F_608D_4696_BF1D_66B69F749BD0_.wvu.Rows" sId="1"/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</rrc>
  <rm rId="1606" sheetId="1" source="A253:XFD261" destination="A56:XFD64" sourceSheetId="1">
    <undo index="65535" exp="area" ref3D="1" dr="$A$260:$XFD$260" dn="Z_C050815F_608D_4696_BF1D_66B69F749BD0_.wvu.Rows" sId="1"/>
    <undo index="65535" exp="area" ref3D="1" dr="$A$260:$XFD$260" dn="Z_63C81512_0323_449A_8D16_969602EE6D8D_.wvu.Row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fmt sheetId="1" xfDxf="1" sqref="A57:XFD57" start="0" length="0">
      <dxf>
        <font>
          <b/>
          <name val="Times New Roman CYR"/>
          <family val="1"/>
        </font>
        <alignment wrapText="1"/>
      </dxf>
    </rfmt>
    <rfmt sheetId="1" xfDxf="1" sqref="A58:XFD58" start="0" length="0">
      <dxf>
        <font>
          <b/>
          <name val="Times New Roman CYR"/>
          <family val="1"/>
        </font>
        <alignment wrapText="1"/>
      </dxf>
    </rfmt>
    <rfmt sheetId="1" xfDxf="1" sqref="A59:XFD59" start="0" length="0">
      <dxf>
        <font>
          <b/>
          <name val="Times New Roman CYR"/>
          <family val="1"/>
        </font>
        <alignment wrapText="1"/>
      </dxf>
    </rfmt>
    <rfmt sheetId="1" xfDxf="1" sqref="A60:XFD60" start="0" length="0">
      <dxf>
        <font>
          <b/>
          <name val="Times New Roman CYR"/>
          <family val="1"/>
        </font>
        <alignment wrapText="1"/>
      </dxf>
    </rfmt>
    <rfmt sheetId="1" xfDxf="1" sqref="A61:XFD61" start="0" length="0">
      <dxf>
        <font>
          <b/>
          <name val="Times New Roman CYR"/>
          <family val="1"/>
        </font>
        <alignment wrapText="1"/>
      </dxf>
    </rfmt>
    <rfmt sheetId="1" xfDxf="1" sqref="A62:XFD62" start="0" length="0">
      <dxf>
        <font>
          <b/>
          <name val="Times New Roman CYR"/>
          <family val="1"/>
        </font>
        <alignment wrapText="1"/>
      </dxf>
    </rfmt>
    <rfmt sheetId="1" xfDxf="1" sqref="A63:XFD63" start="0" length="0">
      <dxf>
        <font>
          <b/>
          <name val="Times New Roman CYR"/>
          <family val="1"/>
        </font>
        <alignment wrapText="1"/>
      </dxf>
    </rfmt>
    <rfmt sheetId="1" xfDxf="1" sqref="A64:XFD64" start="0" length="0">
      <dxf>
        <font>
          <b/>
          <name val="Times New Roman CYR"/>
          <family val="1"/>
        </font>
        <alignment wrapText="1"/>
      </dxf>
    </rfmt>
    <rfmt sheetId="1" sqref="A56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07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8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9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2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3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4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5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6" sId="1" ref="A252:XFD252" action="deleteRow">
    <undo index="65535" exp="ref" v="1" dr="H252" r="H273" sId="1"/>
    <undo index="65535" exp="ref" v="1" dr="G252" r="G273" sId="1"/>
    <rfmt sheetId="1" xfDxf="1" sqref="A252:XFD252" start="0" length="0">
      <dxf>
        <font>
          <i/>
          <name val="Times New Roman CYR"/>
          <family val="1"/>
        </font>
        <alignment wrapText="1"/>
      </dxf>
    </rfmt>
    <rcc rId="0" sId="1" dxf="1">
      <nc r="A252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2" t="inlineStr">
        <is>
          <t>11000 00000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2">
        <v>968</v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2">
        <f>G56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f>H56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617" sId="1">
    <oc r="G272">
      <f>G17+G27+G39+G43+G65+G69+G87+G100+G131+G167+#REF!+G252+G256+G260+G264+G268</f>
    </oc>
    <nc r="G272">
      <f>G17+G27+G39+G43+G65+G69+G87+G100+G131+G167+G252+G256+G260+G264+G268</f>
    </nc>
  </rcc>
  <rcc rId="1618" sId="1">
    <oc r="H272">
      <f>H17+H27+H39+H43+H65+H69+H87+H100+H131+H167+#REF!+H252+H256+H260+H264+H268</f>
    </oc>
    <nc r="H272">
      <f>H17+H27+H39+H43+H65+H69+H87+H100+H131+H167+H252+H256+H260+H264+H268</f>
    </nc>
  </rcc>
  <rrc rId="1619" sId="1" ref="A56:XFD56" action="insertRow">
    <undo index="65535" exp="area" ref3D="1" dr="$A$63:$XFD$63" dn="Z_C050815F_608D_4696_BF1D_66B69F749BD0_.wvu.Rows" sId="1"/>
    <undo index="65535" exp="area" ref3D="1" dr="$A$63:$XFD$63" dn="Z_63C81512_0323_449A_8D16_969602EE6D8D_.wvu.Rows" sId="1"/>
    <undo index="65535" exp="area" ref3D="1" dr="$A$238:$XFD$239" dn="Z_63C81512_0323_449A_8D16_969602EE6D8D_.wvu.Rows" sId="1"/>
    <undo index="65535" exp="area" ref3D="1" dr="$A$156:$XFD$156" dn="Z_63C81512_0323_449A_8D16_969602EE6D8D_.wvu.Rows" sId="1"/>
    <undo index="65535" exp="area" ref3D="1" dr="$A$130:$XFD$130" dn="Z_63C81512_0323_449A_8D16_969602EE6D8D_.wvu.Rows" sId="1"/>
  </rrc>
  <rcc rId="1620" sId="1">
    <nc r="B56" t="inlineStr">
      <is>
        <t>04300 00000</t>
      </is>
    </nc>
  </rcc>
  <rfmt sheetId="1" sqref="A56:XFD56" start="0" length="2147483647">
    <dxf>
      <font>
        <i/>
      </font>
    </dxf>
  </rfmt>
  <rfmt sheetId="1" sqref="A56:XFD56" start="0" length="2147483647">
    <dxf>
      <font>
        <b/>
      </font>
    </dxf>
  </rfmt>
  <rcc rId="1621" sId="1">
    <nc r="D56" t="inlineStr">
      <is>
        <t>971</t>
      </is>
    </nc>
  </rcc>
  <rcc rId="1622" sId="1">
    <nc r="E56" t="inlineStr">
      <is>
        <t>04</t>
      </is>
    </nc>
  </rcc>
  <rcc rId="1623" sId="1">
    <nc r="F56" t="inlineStr">
      <is>
        <t>09</t>
      </is>
    </nc>
  </rcc>
  <rcc rId="1624" sId="1" odxf="1" dxf="1">
    <nc r="A56" t="inlineStr">
      <is>
        <t>Подпрограмма "Развитие дорожной сети в Селенгинском районе"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625" sId="1">
    <oc r="A57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57" t="inlineStr">
      <is>
        <t>Основное мероприятие "Содержание автомобильных дорог общего пользования местного значения"</t>
      </is>
    </nc>
  </rcc>
  <rcc rId="1626" sId="1" odxf="1" dxf="1">
    <oc r="A58" t="inlineStr">
      <is>
        <t>Развитие транспортной инфраструктуры на сельских территориях</t>
      </is>
    </oc>
    <nc r="A58" t="inlineStr">
      <is>
        <t xml:space="preserve">Расходы на содержание автомобильных дорог общего пользования местного значения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27" sId="1" odxf="1" dxf="1">
    <oc r="A59" t="inlineStr">
      <is>
        <t>Бюджетные инвестиции в объекты капитального строительства государственной (муниципальной) собственности</t>
      </is>
    </oc>
    <nc r="A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28" sId="1" odxf="1" dxf="1">
    <oc r="A60" t="inlineStr">
      <is>
        <t>На дорожную деятельность в отношении автомобильных дорог общего пользования местного значения</t>
      </is>
    </oc>
    <nc r="A60" t="inlineStr">
      <is>
        <t>Иные межбюджетные трансферты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1629" sId="1">
    <oc r="B57" t="inlineStr">
      <is>
        <t>11001 00000</t>
      </is>
    </oc>
    <nc r="B57" t="inlineStr">
      <is>
        <t>04304 00000</t>
      </is>
    </nc>
  </rcc>
  <rcc rId="1630" sId="1" odxf="1" dxf="1">
    <oc r="B58" t="inlineStr">
      <is>
        <t>11001 R3720</t>
      </is>
    </oc>
    <nc r="B58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1" sId="1" odxf="1" dxf="1">
    <oc r="B59" t="inlineStr">
      <is>
        <t>11001 R3720</t>
      </is>
    </oc>
    <nc r="B59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2" sId="1" odxf="1" dxf="1">
    <oc r="B60" t="inlineStr">
      <is>
        <t>11001 S21Д0</t>
      </is>
    </oc>
    <nc r="B60" t="inlineStr">
      <is>
        <t>04304 82200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58" start="0" length="0">
    <dxf>
      <fill>
        <patternFill patternType="none">
          <bgColor indexed="65"/>
        </patternFill>
      </fill>
    </dxf>
  </rfmt>
  <rcc rId="1633" sId="1" odxf="1" dxf="1">
    <oc r="C59" t="inlineStr">
      <is>
        <t>414</t>
      </is>
    </oc>
    <nc r="C59" t="inlineStr">
      <is>
        <t>244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4" sId="1" odxf="1" dxf="1">
    <nc r="C60" t="inlineStr">
      <is>
        <t>540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635" sId="1" numFmtId="30">
    <oc r="D57">
      <v>968</v>
    </oc>
    <nc r="D57" t="inlineStr">
      <is>
        <t>971</t>
      </is>
    </nc>
  </rcc>
  <rcc rId="1636" sId="1">
    <oc r="D58" t="inlineStr">
      <is>
        <t>968</t>
      </is>
    </oc>
    <nc r="D58" t="inlineStr">
      <is>
        <t>971</t>
      </is>
    </nc>
  </rcc>
  <rcc rId="1637" sId="1">
    <oc r="D59" t="inlineStr">
      <is>
        <t>968</t>
      </is>
    </oc>
    <nc r="D59" t="inlineStr">
      <is>
        <t>971</t>
      </is>
    </nc>
  </rcc>
  <rcc rId="1638" sId="1">
    <oc r="D60" t="inlineStr">
      <is>
        <t>968</t>
      </is>
    </oc>
    <nc r="D60" t="inlineStr">
      <is>
        <t>971</t>
      </is>
    </nc>
  </rcc>
  <rcc rId="1639" sId="1" numFmtId="4">
    <oc r="G59">
      <f>138906.1</f>
    </oc>
    <nc r="G59">
      <v>3685.0059999999999</v>
    </nc>
  </rcc>
  <rcc rId="1640" sId="1" numFmtId="4">
    <oc r="G60">
      <f>G61</f>
    </oc>
    <nc r="G60">
      <v>12013.404</v>
    </nc>
  </rcc>
  <rcc rId="1641" sId="1" numFmtId="4">
    <oc r="H59">
      <v>0</v>
    </oc>
    <nc r="H59">
      <v>4134.22</v>
    </nc>
  </rcc>
  <rcc rId="1642" sId="1" numFmtId="4">
    <oc r="H60">
      <f>H61</f>
    </oc>
    <nc r="H60">
      <v>12595.35</v>
    </nc>
  </rcc>
  <rcc rId="1643" sId="1">
    <oc r="G58">
      <f>G59</f>
    </oc>
    <nc r="G58">
      <f>SUM(G59:G60)</f>
    </nc>
  </rcc>
  <rcc rId="1644" sId="1">
    <oc r="H58">
      <f>H59</f>
    </oc>
    <nc r="H58">
      <f>SUM(H59:H60)</f>
    </nc>
  </rcc>
  <rcc rId="1645" sId="1">
    <nc r="G56">
      <f>G57</f>
    </nc>
  </rcc>
  <rcc rId="1646" sId="1" odxf="1" dxf="1">
    <oc r="A61" t="inlineStr">
      <is>
        <t>Бюджетные инвестиции в объекты капитального строительства государственной (муниципальной) собственности</t>
      </is>
    </oc>
    <nc r="A61" t="inlineStr">
      <is>
        <t>Развитие транспортной инфраструктуры на сельских территориях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47" sId="1" odxf="1" dxf="1">
    <oc r="A62" t="inlineStr">
      <is>
        <t>Содержание автомобильных дорог общего пользования местного значения</t>
      </is>
    </oc>
    <nc r="A62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48" sId="1" odxf="1" dxf="1">
    <oc r="B61" t="inlineStr">
      <is>
        <t>11001 S21Д0</t>
      </is>
    </oc>
    <nc r="B61" t="inlineStr">
      <is>
        <t>04304 R3720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649" sId="1" odxf="1" dxf="1">
    <oc r="C61" t="inlineStr">
      <is>
        <t>414</t>
      </is>
    </oc>
    <nc r="C61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0" sId="1" odxf="1" dxf="1">
    <oc r="B62" t="inlineStr">
      <is>
        <t>11001 82200</t>
      </is>
    </oc>
    <nc r="B62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1" sId="1" odxf="1" dxf="1">
    <nc r="C62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2" sId="1" odxf="1" dxf="1">
    <oc r="D61" t="inlineStr">
      <is>
        <t>968</t>
      </is>
    </oc>
    <nc r="D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61" start="0" length="0">
    <dxf>
      <font>
        <i/>
        <name val="Times New Roman"/>
        <family val="1"/>
      </font>
      <fill>
        <patternFill>
          <bgColor theme="0"/>
        </patternFill>
      </fill>
    </dxf>
  </rfmt>
  <rcc rId="1653" sId="1" odxf="1" dxf="1">
    <oc r="D62" t="inlineStr">
      <is>
        <t>968</t>
      </is>
    </oc>
    <nc r="D62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654" sId="1" odxf="1" dxf="1">
    <oc r="G61">
      <f>100713.9</f>
    </oc>
    <nc r="G61">
      <f>G62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5" sId="1" odxf="1" dxf="1" numFmtId="4">
    <oc r="H61">
      <v>50713.9</v>
    </oc>
    <nc r="H61">
      <f>H62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6" sId="1" odxf="1" dxf="1">
    <oc r="G62">
      <f>SUM(G63:G63)</f>
    </oc>
    <nc r="G6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7" sId="1" odxf="1" dxf="1" numFmtId="4">
    <oc r="H62">
      <f>SUM(H63:H63)</f>
    </oc>
    <nc r="H6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8" sId="1" odxf="1" dxf="1">
    <oc r="A63" t="inlineStr">
      <is>
        <t>Прочие закупки товаров, работ и услуг для государственных (муниципальных) нужд</t>
      </is>
    </oc>
    <nc r="A6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659" sId="1" odxf="1" dxf="1">
    <oc r="A6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60" sId="1" odxf="1" dxf="1">
    <oc r="B63" t="inlineStr">
      <is>
        <t>11001 82200</t>
      </is>
    </oc>
    <nc r="B63" t="inlineStr">
      <is>
        <t>04304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661" sId="1" odxf="1" dxf="1">
    <oc r="C63" t="inlineStr">
      <is>
        <t>244</t>
      </is>
    </oc>
    <nc r="C63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662" sId="1" odxf="1" dxf="1">
    <oc r="B64" t="inlineStr">
      <is>
        <t>110R1 722Д0</t>
      </is>
    </oc>
    <nc r="B64" t="inlineStr">
      <is>
        <t>04304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663" sId="1" odxf="1" dxf="1">
    <nc r="C64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4" sId="1" odxf="1" dxf="1">
    <oc r="D63" t="inlineStr">
      <is>
        <t>968</t>
      </is>
    </oc>
    <nc r="D6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1665" sId="1" odxf="1" dxf="1">
    <oc r="D64" t="inlineStr">
      <is>
        <t>968</t>
      </is>
    </oc>
    <nc r="D6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1" sqref="E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G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3" start="0" length="0">
    <dxf>
      <font>
        <i/>
        <name val="Times New Roman"/>
        <family val="1"/>
      </font>
      <fill>
        <patternFill>
          <bgColor indexed="9"/>
        </patternFill>
      </fill>
    </dxf>
  </rfmt>
  <rcc rId="1666" sId="1" odxf="1" dxf="1" numFmtId="4">
    <oc r="G64">
      <f>G65</f>
    </oc>
    <nc r="G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7" sId="1" odxf="1" dxf="1" numFmtId="4">
    <oc r="H64">
      <f>H65</f>
    </oc>
    <nc r="H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1668" sId="1" ref="A65:XFD65" action="insertRow">
    <undo index="65535" exp="area" ref3D="1" dr="$A$239:$XFD$240" dn="Z_63C81512_0323_449A_8D16_969602EE6D8D_.wvu.Rows" sId="1"/>
    <undo index="65535" exp="area" ref3D="1" dr="$A$157:$XFD$157" dn="Z_63C81512_0323_449A_8D16_969602EE6D8D_.wvu.Rows" sId="1"/>
    <undo index="65535" exp="area" ref3D="1" dr="$A$131:$XFD$131" dn="Z_63C81512_0323_449A_8D16_969602EE6D8D_.wvu.Rows" sId="1"/>
  </rrc>
  <rrc rId="1669" sId="1" ref="A66:XFD66" action="insertRow">
    <undo index="65535" exp="area" ref3D="1" dr="$A$240:$XFD$241" dn="Z_63C81512_0323_449A_8D16_969602EE6D8D_.wvu.Rows" sId="1"/>
    <undo index="65535" exp="area" ref3D="1" dr="$A$158:$XFD$158" dn="Z_63C81512_0323_449A_8D16_969602EE6D8D_.wvu.Rows" sId="1"/>
    <undo index="65535" exp="area" ref3D="1" dr="$A$132:$XFD$132" dn="Z_63C81512_0323_449A_8D16_969602EE6D8D_.wvu.Rows" sId="1"/>
  </rrc>
  <rrc rId="1670" sId="1" ref="A67:XFD67" action="insertRow">
    <undo index="65535" exp="area" ref3D="1" dr="$A$241:$XFD$242" dn="Z_63C81512_0323_449A_8D16_969602EE6D8D_.wvu.Rows" sId="1"/>
    <undo index="65535" exp="area" ref3D="1" dr="$A$159:$XFD$159" dn="Z_63C81512_0323_449A_8D16_969602EE6D8D_.wvu.Rows" sId="1"/>
    <undo index="65535" exp="area" ref3D="1" dr="$A$133:$XFD$133" dn="Z_63C81512_0323_449A_8D16_969602EE6D8D_.wvu.Rows" sId="1"/>
  </rrc>
  <rrc rId="1671" sId="1" ref="A68:XFD68" action="insertRow">
    <undo index="65535" exp="area" ref3D="1" dr="$A$242:$XFD$243" dn="Z_63C81512_0323_449A_8D16_969602EE6D8D_.wvu.Rows" sId="1"/>
    <undo index="65535" exp="area" ref3D="1" dr="$A$160:$XFD$160" dn="Z_63C81512_0323_449A_8D16_969602EE6D8D_.wvu.Rows" sId="1"/>
    <undo index="65535" exp="area" ref3D="1" dr="$A$134:$XFD$134" dn="Z_63C81512_0323_449A_8D16_969602EE6D8D_.wvu.Rows" sId="1"/>
  </rrc>
  <rcc rId="1672" sId="1" odxf="1" dxf="1"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3" sId="1" odxf="1" dxf="1">
    <nc r="A6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4" sId="1">
    <nc r="B65" t="inlineStr">
      <is>
        <t>04304 S21Д0</t>
      </is>
    </nc>
  </rcc>
  <rcc rId="1675" sId="1">
    <nc r="C65" t="inlineStr">
      <is>
        <t>540</t>
      </is>
    </nc>
  </rcc>
  <rcc rId="1676" sId="1">
    <nc r="B66" t="inlineStr">
      <is>
        <t>04304 S21Д0</t>
      </is>
    </nc>
  </rcc>
  <rcc rId="1677" sId="1" odxf="1" dxf="1">
    <nc r="C66" t="inlineStr">
      <is>
        <t>622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8" sId="1">
    <nc r="D65" t="inlineStr">
      <is>
        <t>968</t>
      </is>
    </nc>
  </rcc>
  <rcc rId="1679" sId="1">
    <nc r="E65" t="inlineStr">
      <is>
        <t>04</t>
      </is>
    </nc>
  </rcc>
  <rcc rId="1680" sId="1">
    <nc r="F65" t="inlineStr">
      <is>
        <t>09</t>
      </is>
    </nc>
  </rcc>
  <rcc rId="1681" sId="1">
    <nc r="D66" t="inlineStr">
      <is>
        <t>968</t>
      </is>
    </nc>
  </rcc>
  <rcc rId="1682" sId="1">
    <nc r="E66" t="inlineStr">
      <is>
        <t>04</t>
      </is>
    </nc>
  </rcc>
  <rcc rId="1683" sId="1">
    <nc r="F66" t="inlineStr">
      <is>
        <t>09</t>
      </is>
    </nc>
  </rcc>
  <rcc rId="1684" sId="1" odxf="1" dxf="1" numFmtId="4">
    <nc r="G65">
      <v>50000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5" sId="1" odxf="1" dxf="1" numFmtId="4">
    <nc r="H65">
      <v>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6" sId="1" numFmtId="4">
    <nc r="G66">
      <v>51020.41</v>
    </nc>
  </rcc>
  <rcc rId="1687" sId="1" numFmtId="4">
    <nc r="H66">
      <v>51020.41</v>
    </nc>
  </rcc>
  <rcc rId="1688" sId="1">
    <oc r="G63">
      <v>16733.39</v>
    </oc>
    <nc r="G63">
      <f>SUM(G64:G66)</f>
    </nc>
  </rcc>
  <rcc rId="1689" sId="1" odxf="1" dxf="1">
    <oc r="H63">
      <v>17764.55</v>
    </oc>
    <nc r="H63">
      <f>SUM(H64:H66)</f>
    </nc>
    <ndxf>
      <fill>
        <patternFill patternType="none">
          <bgColor indexed="65"/>
        </patternFill>
      </fill>
    </ndxf>
  </rcc>
  <rcc rId="1690" sId="1" odxf="1" dxf="1">
    <nc r="A6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691" sId="1">
    <nc r="A68" t="inlineStr">
      <is>
        <t>Прочие закупки товаров, работ и услуг для государственных (муниципальных) нужд</t>
      </is>
    </nc>
  </rcc>
  <rcc rId="1692" sId="1" odxf="1" dxf="1">
    <nc r="B67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67" start="0" length="0">
    <dxf>
      <font>
        <i/>
        <name val="Times New Roman"/>
        <family val="1"/>
      </font>
    </dxf>
  </rfmt>
  <rcc rId="1693" sId="1" odxf="1" dxf="1">
    <nc r="B68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4" sId="1">
    <nc r="C68" t="inlineStr">
      <is>
        <t>244</t>
      </is>
    </nc>
  </rcc>
  <rcc rId="1695" sId="1" odxf="1" dxf="1">
    <nc r="D67" t="inlineStr">
      <is>
        <t>971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6" sId="1" odxf="1" dxf="1">
    <nc r="E67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7" sId="1" odxf="1" dxf="1">
    <nc r="F67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8" sId="1" odxf="1" dxf="1">
    <nc r="D68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9" sId="1" odxf="1" dxf="1">
    <nc r="E68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0" sId="1" odxf="1" dxf="1">
    <nc r="F68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1" sId="1" odxf="1" dxf="1">
    <nc r="G67">
      <f>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2" sId="1" odxf="1" dxf="1">
    <nc r="H67">
      <f>H68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3" sId="1" numFmtId="4">
    <nc r="G68">
      <v>0</v>
    </nc>
  </rcc>
  <rcc rId="1704" sId="1" numFmtId="4">
    <nc r="H68">
      <v>100000</v>
    </nc>
  </rcc>
  <rrc rId="1705" sId="1" ref="A69:XFD69" action="deleteRow">
    <undo index="65535" exp="area" ref3D="1" dr="$A$243:$XFD$244" dn="Z_63C81512_0323_449A_8D16_969602EE6D8D_.wvu.Rows" sId="1"/>
    <undo index="65535" exp="area" ref3D="1" dr="$A$161:$XFD$161" dn="Z_63C81512_0323_449A_8D16_969602EE6D8D_.wvu.Rows" sId="1"/>
    <undo index="65535" exp="area" ref3D="1" dr="$A$135:$XFD$135" dn="Z_63C81512_0323_449A_8D16_969602EE6D8D_.wvu.Rows" sId="1"/>
    <rfmt sheetId="1" xfDxf="1" sqref="A69:XFD69" start="0" length="0">
      <dxf>
        <font>
          <i/>
          <name val="Times New Roman CYR"/>
          <family val="1"/>
        </font>
        <alignment wrapText="1"/>
      </dxf>
    </rfmt>
    <rcc rId="0" sId="1" dxf="1">
      <nc r="A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110R1 722Д0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9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9">
        <v>100000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06" sId="1">
    <oc r="G57">
      <f>G62+G60+G64+G58</f>
    </oc>
    <nc r="G57">
      <f>G58+G61+G63+G67</f>
    </nc>
  </rcc>
  <rcc rId="1707" sId="1">
    <nc r="H56">
      <f>H57</f>
    </nc>
  </rcc>
  <rcc rId="1708" sId="1">
    <oc r="H57">
      <f>H62+H60+H64+H58</f>
    </oc>
    <nc r="H57">
      <f>H58+H61+H63+H67</f>
    </nc>
  </rcc>
  <rcc rId="1709" sId="1">
    <oc r="G43">
      <f>G44</f>
    </oc>
    <nc r="G43">
      <f>G44+G56</f>
    </nc>
  </rcc>
  <rcc rId="1710" sId="1">
    <oc r="H43">
      <f>H44</f>
    </oc>
    <nc r="H43">
      <f>H44+H56</f>
    </nc>
  </rcc>
  <rcv guid="{DD9A8EC0-978F-40DB-8504-69866F97ABC3}" action="delete"/>
  <rdn rId="0" localSheetId="1" customView="1" name="Z_DD9A8EC0_978F_40DB_8504_69866F97ABC3_.wvu.PrintArea" hidden="1" oldHidden="1">
    <formula>Мун.программы!$A$1:$H$276</formula>
    <oldFormula>Мун.программы!$A$1:$H$276</oldFormula>
  </rdn>
  <rdn rId="0" localSheetId="1" customView="1" name="Z_DD9A8EC0_978F_40DB_8504_69866F97ABC3_.wvu.FilterData" hidden="1" oldHidden="1">
    <formula>Мун.программы!$A$16:$Q$412</formula>
    <oldFormula>Мун.программы!$A$16:$Q$412</oldFormula>
  </rdn>
  <rcv guid="{DD9A8EC0-978F-40DB-8504-69866F97ABC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6D9765_3D6F_4710_B925_E44D9570C8C1_.wvu.PrintArea" hidden="1" oldHidden="1">
    <formula>Мун.программы!$A$1:$H$280</formula>
  </rdn>
  <rdn rId="0" localSheetId="1" customView="1" name="Z_106D9765_3D6F_4710_B925_E44D9570C8C1_.wvu.Cols" hidden="1" oldHidden="1">
    <formula>Мун.программы!$B:$F</formula>
  </rdn>
  <rdn rId="0" localSheetId="1" customView="1" name="Z_106D9765_3D6F_4710_B925_E44D9570C8C1_.wvu.FilterData" hidden="1" oldHidden="1">
    <formula>Мун.программы!$A$20:$Q$416</formula>
  </rdn>
  <rcv guid="{106D9765-3D6F-4710-B925-E44D9570C8C1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9" sId="1" numFmtId="4">
    <oc r="H70">
      <v>51020.41</v>
    </oc>
    <nc r="H70">
      <v>134445.41099999999</v>
    </nc>
  </rcc>
  <rcc rId="1730" sId="1" numFmtId="4">
    <oc r="G112">
      <v>5621</v>
    </oc>
    <nc r="G112">
      <v>8125.77</v>
    </nc>
  </rcc>
  <rcc rId="1731" sId="1" numFmtId="4">
    <oc r="H112">
      <v>5621</v>
    </oc>
    <nc r="H112">
      <v>8125.77</v>
    </nc>
  </rcc>
  <rcc rId="1732" sId="1" numFmtId="4">
    <oc r="G118">
      <v>9391.7000000000007</v>
    </oc>
    <nc r="G118">
      <v>13509.28</v>
    </nc>
  </rcc>
  <rcc rId="1733" sId="1" numFmtId="4">
    <oc r="H118">
      <v>9391.7000000000007</v>
    </oc>
    <nc r="H118">
      <v>13509.28</v>
    </nc>
  </rcc>
  <rcc rId="1734" sId="1" numFmtId="4">
    <oc r="G120">
      <v>18710.7</v>
    </oc>
    <nc r="G120">
      <v>12680.7</v>
    </nc>
  </rcc>
  <rcc rId="1735" sId="1" numFmtId="4">
    <oc r="H120">
      <v>18710.7</v>
    </oc>
    <nc r="H120">
      <v>3710.7</v>
    </nc>
  </rcc>
  <rcc rId="1736" sId="1" numFmtId="4">
    <oc r="G124">
      <v>13716.3</v>
    </oc>
    <nc r="G124">
      <v>13342.1</v>
    </nc>
  </rcc>
  <rcc rId="1737" sId="1" numFmtId="4">
    <oc r="H124">
      <v>13716.3</v>
    </oc>
    <nc r="H124">
      <v>13342.1</v>
    </nc>
  </rcc>
  <rcc rId="1738" sId="1" numFmtId="4">
    <oc r="G126">
      <v>16513</v>
    </oc>
    <nc r="G126">
      <v>10483</v>
    </nc>
  </rcc>
  <rcc rId="1739" sId="1" numFmtId="4">
    <oc r="H126">
      <v>16513</v>
    </oc>
    <nc r="H126">
      <v>1513</v>
    </nc>
  </rcc>
  <rcc rId="1740" sId="1" numFmtId="4">
    <oc r="G148">
      <f>676.8+1954.4</f>
    </oc>
    <nc r="G148">
      <v>2666.6</v>
    </nc>
  </rcc>
  <rcc rId="1741" sId="1" numFmtId="4">
    <oc r="G149">
      <f>204.4+590.2</f>
    </oc>
    <nc r="G149">
      <v>805.6</v>
    </nc>
  </rcc>
  <rcc rId="1742" sId="1" numFmtId="4">
    <oc r="H148">
      <f>676.8+1954.4</f>
    </oc>
    <nc r="H148">
      <v>2666.6</v>
    </nc>
  </rcc>
  <rcc rId="1743" sId="1" numFmtId="4">
    <oc r="H149">
      <f>204.4+590.2</f>
    </oc>
    <nc r="H149">
      <v>805.6</v>
    </nc>
  </rcc>
  <rcc rId="1744" sId="1" numFmtId="4">
    <oc r="H153">
      <f>32631.1-13957.62</f>
    </oc>
    <nc r="H153">
      <v>3673.48</v>
    </nc>
  </rcc>
  <rcc rId="1745" sId="1" numFmtId="4">
    <oc r="G179">
      <v>123392.6</v>
    </oc>
    <nc r="G179">
      <v>131777.20000000001</v>
    </nc>
  </rcc>
  <rcc rId="1746" sId="1" numFmtId="4">
    <oc r="H179">
      <v>122660.5</v>
    </oc>
    <nc r="H179">
      <v>131045.1</v>
    </nc>
  </rcc>
  <rcc rId="1747" sId="1" numFmtId="4">
    <oc r="G183">
      <f>22427.6</f>
    </oc>
    <nc r="G183">
      <v>22258.6</v>
    </nc>
  </rcc>
  <rcc rId="1748" sId="1" numFmtId="4">
    <oc r="H183">
      <f>22427.6</f>
    </oc>
    <nc r="H183">
      <v>7258.6</v>
    </nc>
  </rcc>
  <rcc rId="1749" sId="1" numFmtId="4">
    <oc r="G185">
      <f>71577+1431.5</f>
    </oc>
    <nc r="G185">
      <v>81458</v>
    </nc>
  </rcc>
  <rcc rId="1750" sId="1" numFmtId="4">
    <oc r="H185">
      <f>71577+1431.5</f>
    </oc>
    <nc r="H185">
      <v>81458</v>
    </nc>
  </rcc>
  <rcc rId="1751" sId="1" numFmtId="4">
    <oc r="G191">
      <v>256485.6</v>
    </oc>
    <nc r="G191">
      <v>266218.90000000002</v>
    </nc>
  </rcc>
  <rcc rId="1752" sId="1" numFmtId="4">
    <oc r="H191">
      <v>256485.6</v>
    </oc>
    <nc r="H191">
      <v>266218.90000000002</v>
    </nc>
  </rcc>
  <rcc rId="1753" sId="1" numFmtId="4">
    <oc r="G195">
      <v>32512.2</v>
    </oc>
    <nc r="G195">
      <v>20596.84</v>
    </nc>
  </rcc>
  <rcc rId="1754" sId="1" numFmtId="4">
    <oc r="H195">
      <v>32512.2</v>
    </oc>
    <nc r="H195">
      <v>10171.839</v>
    </nc>
  </rcc>
  <rcc rId="1755" sId="1" numFmtId="4">
    <oc r="G201">
      <f>108242.8+5715.8</f>
    </oc>
    <nc r="G201">
      <v>122150.8</v>
    </nc>
  </rcc>
  <rcc rId="1756" sId="1" numFmtId="4">
    <oc r="H201">
      <f>108242.8+5715.8</f>
    </oc>
    <nc r="H201">
      <v>122150.8</v>
    </nc>
  </rcc>
  <rcc rId="1757" sId="1" numFmtId="4">
    <oc r="G242">
      <v>7871.4</v>
    </oc>
    <nc r="G242">
      <v>7730.3</v>
    </nc>
  </rcc>
  <rcc rId="1758" sId="1" numFmtId="4">
    <oc r="G243">
      <v>2377.1999999999998</v>
    </oc>
    <nc r="G243">
      <v>2334.6</v>
    </nc>
  </rcc>
  <rcc rId="1759" sId="1" numFmtId="4">
    <oc r="H242">
      <v>7871.4</v>
    </oc>
    <nc r="H242">
      <v>7730.3</v>
    </nc>
  </rcc>
  <rcc rId="1760" sId="1" numFmtId="4">
    <oc r="H243">
      <v>2377.1999999999998</v>
    </oc>
    <nc r="H243">
      <v>2334.6</v>
    </nc>
  </rcc>
  <rcc rId="1761" sId="1" numFmtId="4">
    <oc r="G249">
      <f>21490.9+429.9</f>
    </oc>
    <nc r="G249">
      <v>28977.9</v>
    </nc>
  </rcc>
  <rcc rId="1762" sId="1" numFmtId="4">
    <oc r="G250">
      <f>6490.3+129.8</f>
    </oc>
    <nc r="G250">
      <v>8750.9</v>
    </nc>
  </rcc>
  <rcc rId="1763" sId="1" numFmtId="4">
    <oc r="H249">
      <f>21490.9+429.9</f>
    </oc>
    <nc r="H249">
      <v>28977.9</v>
    </nc>
  </rcc>
  <rcc rId="1764" sId="1" numFmtId="4">
    <oc r="H250">
      <f>6490.3+129.8</f>
    </oc>
    <nc r="H250">
      <v>8750.9</v>
    </nc>
  </rcc>
  <rrc rId="1765" sId="1" ref="A280:XFD283" action="insertRow">
    <undo index="65535" exp="area" ref3D="1" dr="$B$1:$F$1048576" dn="Z_106D9765_3D6F_4710_B925_E44D9570C8C1_.wvu.Cols" sId="1"/>
  </rrc>
  <rcc rId="1766" sId="1" odxf="1" dxf="1">
    <n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1767" sId="1" odxf="1" dxf="1">
    <nc r="B280" t="inlineStr">
      <is>
        <t>18000 00000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768" sId="1" odxf="1" dxf="1">
    <nc r="G280">
      <f>G281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69" sId="1" odxf="1" dxf="1">
    <nc r="H280">
      <f>H281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70" sId="1" odxf="1" dxf="1">
    <n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771" sId="1" odxf="1" dxf="1">
    <nc r="B281" t="inlineStr">
      <is>
        <t>18002 00000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1" start="0" length="0">
    <dxf>
      <font>
        <i/>
        <name val="Times New Roman"/>
        <family val="1"/>
      </font>
    </dxf>
  </rfmt>
  <rcc rId="1772" sId="1" odxf="1" dxf="1" numFmtId="30">
    <nc r="D281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3" sId="1" odxf="1" dxf="1">
    <nc r="E2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4" sId="1" odxf="1" dxf="1">
    <nc r="F2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5" sId="1" odxf="1" dxf="1">
    <nc r="G281">
      <f>G282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6" sId="1" odxf="1" dxf="1">
    <nc r="H281">
      <f>H282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7" sId="1" odxf="1" dxf="1">
    <nc r="A282" t="inlineStr">
      <is>
        <t>Мероприятия по предупреждению и ликвидации от ЧС природного и техногенного характера</t>
      </is>
    </nc>
    <o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ndxf>
  </rcc>
  <rcc rId="1778" sId="1" odxf="1" dxf="1">
    <nc r="B282" t="inlineStr">
      <is>
        <t>18002 82300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2" start="0" length="0">
    <dxf>
      <font>
        <i/>
        <name val="Times New Roman"/>
        <family val="1"/>
      </font>
    </dxf>
  </rfmt>
  <rcc rId="1779" sId="1" odxf="1" dxf="1" numFmtId="30">
    <nc r="D28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E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F28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2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H282">
      <f>H283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>
    <nc r="A283" t="inlineStr">
      <is>
        <t>Прочие закупки товаров, работ и услуг для государственных (муниципальных) нужд</t>
      </is>
    </nc>
  </rcc>
  <rcc rId="1785" sId="1">
    <nc r="B283" t="inlineStr">
      <is>
        <t>18002 82300</t>
      </is>
    </nc>
  </rcc>
  <rcc rId="1786" sId="1">
    <nc r="C283" t="inlineStr">
      <is>
        <t>244</t>
      </is>
    </nc>
  </rcc>
  <rcc rId="1787" sId="1" numFmtId="30">
    <nc r="D283">
      <v>968</v>
    </nc>
  </rcc>
  <rcc rId="1788" sId="1">
    <nc r="E283" t="inlineStr">
      <is>
        <t>03</t>
      </is>
    </nc>
  </rcc>
  <rcc rId="1789" sId="1">
    <nc r="F283" t="inlineStr">
      <is>
        <t>10</t>
      </is>
    </nc>
  </rcc>
  <rcc rId="1790" sId="1" numFmtId="4">
    <nc r="G283">
      <v>1500</v>
    </nc>
  </rcc>
  <rcc rId="1791" sId="1" numFmtId="4">
    <nc r="H283">
      <v>1500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92" sId="1" ref="A282:XFD282" action="insertRow">
    <undo index="65535" exp="area" ref3D="1" dr="$B$1:$F$1048576" dn="Z_106D9765_3D6F_4710_B925_E44D9570C8C1_.wvu.Cols" sId="1"/>
  </rrc>
  <rrc rId="1793" sId="1" ref="A282:XFD282" action="insertRow">
    <undo index="65535" exp="area" ref3D="1" dr="$B$1:$F$1048576" dn="Z_106D9765_3D6F_4710_B925_E44D9570C8C1_.wvu.Cols" sId="1"/>
  </rrc>
  <rrc rId="1794" sId="1" ref="A282:XFD282" action="insertRow">
    <undo index="65535" exp="area" ref3D="1" dr="$B$1:$F$1048576" dn="Z_106D9765_3D6F_4710_B925_E44D9570C8C1_.wvu.Cols" sId="1"/>
  </rrc>
  <rrc rId="1795" sId="1" ref="A283:XFD283" action="insertRow">
    <undo index="65535" exp="area" ref3D="1" dr="$B$1:$F$1048576" dn="Z_106D9765_3D6F_4710_B925_E44D9570C8C1_.wvu.Cols" sId="1"/>
  </rrc>
  <rfmt sheetId="1" sqref="A280" start="0" length="0">
    <dxf>
      <fill>
        <patternFill patternType="none">
          <bgColor indexed="65"/>
        </patternFill>
      </fill>
    </dxf>
  </rfmt>
  <rfmt sheetId="1" sqref="A281" start="0" length="0">
    <dxf>
      <alignment horizontal="general"/>
    </dxf>
  </rfmt>
  <rfmt sheetId="1" sqref="A282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3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4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6" start="0" length="0">
    <dxf>
      <font>
        <i val="0"/>
        <color indexed="8"/>
        <name val="Times New Roman"/>
        <family val="1"/>
      </font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5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96" sId="1" ref="A287:XFD287" action="deleteRow">
    <undo index="65535" exp="area" ref3D="1" dr="$B$1:$F$1048576" dn="Z_106D9765_3D6F_4710_B925_E44D9570C8C1_.wvu.Cols" sId="1"/>
    <rfmt sheetId="1" xfDxf="1" sqref="A287:XFD287" start="0" length="0">
      <dxf>
        <font>
          <i/>
          <name val="Times New Roman CYR"/>
          <family val="1"/>
        </font>
        <alignment wrapText="1"/>
      </dxf>
    </rfmt>
    <rcc rId="0" sId="1" dxf="1">
      <nc r="A28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18002 82300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7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80" start="0" length="0">
    <dxf>
      <border outline="0">
        <left/>
        <right/>
        <top/>
        <bottom/>
      </border>
    </dxf>
  </rfmt>
  <rcc rId="1797" sId="1" odxf="1" dxf="1">
    <o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oc>
    <nc r="A281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1798" sId="1" odxf="1" dxf="1">
    <nc r="A282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1799" sId="1" odxf="1" dxf="1">
    <nc r="A283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alignment horizontal="left" vertical="center"/>
    </ndxf>
  </rcc>
  <rfmt sheetId="1" sqref="B280" start="0" length="0">
    <dxf>
      <fill>
        <patternFill patternType="none">
          <bgColor indexed="65"/>
        </patternFill>
      </fill>
    </dxf>
  </rfmt>
  <rfmt sheetId="1" sqref="C280" start="0" length="0">
    <dxf>
      <fill>
        <patternFill patternType="none">
          <bgColor indexed="65"/>
        </patternFill>
      </fill>
    </dxf>
  </rfmt>
  <rcc rId="1800" sId="1">
    <oc r="B281" t="inlineStr">
      <is>
        <t>18002 00000</t>
      </is>
    </oc>
    <nc r="B281" t="inlineStr">
      <is>
        <t>25001 00000</t>
      </is>
    </nc>
  </rcc>
  <rcc rId="1801" sId="1">
    <nc r="B282" t="inlineStr">
      <is>
        <t>25001 82900</t>
      </is>
    </nc>
  </rcc>
  <rcc rId="1802" sId="1" odxf="1" dxf="1">
    <nc r="B283" t="inlineStr">
      <is>
        <t>25001 82900</t>
      </is>
    </nc>
    <ndxf>
      <font>
        <i val="0"/>
        <name val="Times New Roman"/>
        <family val="1"/>
      </font>
    </ndxf>
  </rcc>
  <rcc rId="1803" sId="1" odxf="1" dxf="1">
    <nc r="C283" t="inlineStr">
      <is>
        <t>244</t>
      </is>
    </nc>
    <ndxf>
      <font>
        <i val="0"/>
        <name val="Times New Roman"/>
        <family val="1"/>
      </font>
    </ndxf>
  </rcc>
  <rfmt sheetId="1" sqref="D280" start="0" length="0">
    <dxf>
      <fill>
        <patternFill patternType="none">
          <bgColor indexed="65"/>
        </patternFill>
      </fill>
    </dxf>
  </rfmt>
  <rfmt sheetId="1" sqref="E280" start="0" length="0">
    <dxf>
      <fill>
        <patternFill patternType="none">
          <bgColor indexed="65"/>
        </patternFill>
      </fill>
    </dxf>
  </rfmt>
  <rfmt sheetId="1" sqref="F280" start="0" length="0">
    <dxf>
      <fill>
        <patternFill patternType="none">
          <bgColor indexed="65"/>
        </patternFill>
      </fill>
    </dxf>
  </rfmt>
  <rcc rId="1804" sId="1">
    <oc r="E281" t="inlineStr">
      <is>
        <t>03</t>
      </is>
    </oc>
    <nc r="E281" t="inlineStr">
      <is>
        <t>01</t>
      </is>
    </nc>
  </rcc>
  <rcc rId="1805" sId="1">
    <oc r="F281" t="inlineStr">
      <is>
        <t>10</t>
      </is>
    </oc>
    <nc r="F281" t="inlineStr">
      <is>
        <t>13</t>
      </is>
    </nc>
  </rcc>
  <rcc rId="1806" sId="1">
    <nc r="D282" t="inlineStr">
      <is>
        <t>968</t>
      </is>
    </nc>
  </rcc>
  <rcc rId="1807" sId="1">
    <nc r="E282" t="inlineStr">
      <is>
        <t>01</t>
      </is>
    </nc>
  </rcc>
  <rcc rId="1808" sId="1">
    <nc r="F282" t="inlineStr">
      <is>
        <t>13</t>
      </is>
    </nc>
  </rcc>
  <rcc rId="1809" sId="1" odxf="1" dxf="1" numFmtId="30">
    <nc r="D283" t="inlineStr">
      <is>
        <t>968</t>
      </is>
    </nc>
    <ndxf>
      <font>
        <i val="0"/>
        <name val="Times New Roman"/>
        <family val="1"/>
      </font>
    </ndxf>
  </rcc>
  <rcc rId="1810" sId="1" odxf="1" dxf="1">
    <nc r="E283" t="inlineStr">
      <is>
        <t>01</t>
      </is>
    </nc>
    <ndxf>
      <font>
        <i val="0"/>
        <name val="Times New Roman"/>
        <family val="1"/>
      </font>
    </ndxf>
  </rcc>
  <rcc rId="1811" sId="1" odxf="1" dxf="1">
    <nc r="F283" t="inlineStr">
      <is>
        <t>13</t>
      </is>
    </nc>
    <ndxf>
      <font>
        <i val="0"/>
        <name val="Times New Roman"/>
        <family val="1"/>
      </font>
    </ndxf>
  </rcc>
  <rcc rId="1812" sId="1" numFmtId="4">
    <nc r="G283">
      <v>330</v>
    </nc>
  </rcc>
  <rcc rId="1813" sId="1" numFmtId="4">
    <nc r="H283">
      <v>350</v>
    </nc>
  </rcc>
  <rcc rId="1814" sId="1">
    <nc r="G282">
      <f>G283</f>
    </nc>
  </rcc>
  <rcc rId="1815" sId="1">
    <oc r="G281">
      <f>G286</f>
    </oc>
    <nc r="G281">
      <f>G282</f>
    </nc>
  </rcc>
  <rcc rId="1816" sId="1">
    <nc r="H282">
      <f>H283</f>
    </nc>
  </rcc>
  <rcc rId="1817" sId="1">
    <oc r="H281">
      <f>H286</f>
    </oc>
    <nc r="H281">
      <f>H282</f>
    </nc>
  </rcc>
  <rrc rId="1818" sId="1" ref="A284:XFD286" action="insertRow">
    <undo index="65535" exp="area" ref3D="1" dr="$B$1:$F$1048576" dn="Z_106D9765_3D6F_4710_B925_E44D9570C8C1_.wvu.Cols" sId="1"/>
  </rrc>
  <rcc rId="1819" sId="1" odxf="1" dxf="1">
    <nc r="A284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0" sId="1" odxf="1" dxf="1">
    <nc r="A28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1" sId="1">
    <nc r="A286" t="inlineStr">
      <is>
        <t>Иные межбюджетные трансферты</t>
      </is>
    </nc>
  </rcc>
  <rcc rId="1822" sId="1" odxf="1" dxf="1">
    <nc r="A287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alignment horizontal="general" vertical="top"/>
    </ndxf>
  </rcc>
  <rcc rId="1823" sId="1">
    <nc r="A288" t="inlineStr">
      <is>
        <t>Прочие мероприятия , связанные с выполнением обязательств ОМСУ</t>
      </is>
    </nc>
  </rcc>
  <rcc rId="1824" sId="1">
    <oc r="A289" t="inlineStr">
      <is>
        <t>Мероприятия по предупреждению и ликвидации от ЧС природного и техногенного характера</t>
      </is>
    </oc>
    <nc r="A289" t="inlineStr">
      <is>
        <t>Иные межбюджетные трансферты</t>
      </is>
    </nc>
  </rcc>
  <rcc rId="1825" sId="1" odxf="1" dxf="1">
    <nc r="B284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4" start="0" length="0">
    <dxf>
      <font>
        <i/>
        <name val="Times New Roman"/>
        <family val="1"/>
      </font>
    </dxf>
  </rfmt>
  <rcc rId="1826" sId="1" odxf="1" dxf="1">
    <nc r="B285" t="inlineStr">
      <is>
        <t>25002 82900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5" start="0" length="0">
    <dxf>
      <font>
        <i/>
        <name val="Times New Roman"/>
        <family val="1"/>
      </font>
    </dxf>
  </rfmt>
  <rcc rId="1827" sId="1">
    <nc r="B286" t="inlineStr">
      <is>
        <t>25002 82900</t>
      </is>
    </nc>
  </rcc>
  <rcc rId="1828" sId="1">
    <nc r="C286" t="inlineStr">
      <is>
        <t>540</t>
      </is>
    </nc>
  </rcc>
  <rcc rId="1829" sId="1">
    <nc r="B287" t="inlineStr">
      <is>
        <t>25003 00000</t>
      </is>
    </nc>
  </rcc>
  <rcc rId="1830" sId="1">
    <nc r="B288" t="inlineStr">
      <is>
        <t>25003 82900</t>
      </is>
    </nc>
  </rcc>
  <rcc rId="1831" sId="1" odxf="1" dxf="1">
    <oc r="B289" t="inlineStr">
      <is>
        <t>18002 82300</t>
      </is>
    </oc>
    <nc r="B289" t="inlineStr">
      <is>
        <t>25003 82900</t>
      </is>
    </nc>
    <ndxf>
      <font>
        <i val="0"/>
        <name val="Times New Roman"/>
        <family val="1"/>
      </font>
    </ndxf>
  </rcc>
  <rcc rId="1832" sId="1" odxf="1" dxf="1">
    <nc r="C289" t="inlineStr">
      <is>
        <t>540</t>
      </is>
    </nc>
    <ndxf>
      <font>
        <i val="0"/>
        <name val="Times New Roman"/>
        <family val="1"/>
      </font>
    </ndxf>
  </rcc>
  <rcc rId="1833" sId="1" odxf="1" dxf="1" numFmtId="30">
    <nc r="D28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4" sId="1" odxf="1" dxf="1">
    <nc r="E28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5" sId="1" odxf="1" dxf="1">
    <nc r="F2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6" sId="1" odxf="1" dxf="1" numFmtId="30">
    <nc r="D28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7" sId="1" odxf="1" dxf="1">
    <nc r="E28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8" sId="1" odxf="1" dxf="1">
    <nc r="F2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9" sId="1" numFmtId="30">
    <nc r="D286">
      <v>968</v>
    </nc>
  </rcc>
  <rcc rId="1840" sId="1">
    <nc r="E286" t="inlineStr">
      <is>
        <t>05</t>
      </is>
    </nc>
  </rcc>
  <rcc rId="1841" sId="1">
    <nc r="F286" t="inlineStr">
      <is>
        <t>03</t>
      </is>
    </nc>
  </rcc>
  <rcc rId="1842" sId="1">
    <nc r="D287" t="inlineStr">
      <is>
        <t>968</t>
      </is>
    </nc>
  </rcc>
  <rcc rId="1843" sId="1">
    <nc r="E287" t="inlineStr">
      <is>
        <t>05</t>
      </is>
    </nc>
  </rcc>
  <rcc rId="1844" sId="1">
    <nc r="F287" t="inlineStr">
      <is>
        <t>03</t>
      </is>
    </nc>
  </rcc>
  <rcc rId="1845" sId="1" numFmtId="30">
    <nc r="D288">
      <v>968</v>
    </nc>
  </rcc>
  <rcc rId="1846" sId="1">
    <nc r="E288" t="inlineStr">
      <is>
        <t>05</t>
      </is>
    </nc>
  </rcc>
  <rcc rId="1847" sId="1">
    <nc r="F288" t="inlineStr">
      <is>
        <t>03</t>
      </is>
    </nc>
  </rcc>
  <rfmt sheetId="1" sqref="D289" start="0" length="0">
    <dxf>
      <font>
        <i val="0"/>
        <name val="Times New Roman"/>
        <family val="1"/>
      </font>
    </dxf>
  </rfmt>
  <rcc rId="1848" sId="1" odxf="1" dxf="1">
    <oc r="E289" t="inlineStr">
      <is>
        <t>03</t>
      </is>
    </oc>
    <nc r="E289" t="inlineStr">
      <is>
        <t>05</t>
      </is>
    </nc>
    <ndxf>
      <font>
        <i val="0"/>
        <name val="Times New Roman"/>
        <family val="1"/>
      </font>
    </ndxf>
  </rcc>
  <rcc rId="1849" sId="1" odxf="1" dxf="1">
    <oc r="F289" t="inlineStr">
      <is>
        <t>10</t>
      </is>
    </oc>
    <nc r="F289" t="inlineStr">
      <is>
        <t>03</t>
      </is>
    </nc>
    <ndxf>
      <font>
        <i val="0"/>
        <name val="Times New Roman"/>
        <family val="1"/>
      </font>
    </ndxf>
  </rcc>
  <rcc rId="1850" sId="1">
    <nc r="G284">
      <f>G285</f>
    </nc>
  </rcc>
  <rcc rId="1851" sId="1">
    <nc r="H284">
      <f>H285</f>
    </nc>
  </rcc>
  <rcc rId="1852" sId="1">
    <nc r="G285">
      <f>G286</f>
    </nc>
  </rcc>
  <rcc rId="1853" sId="1">
    <nc r="H285">
      <f>H286</f>
    </nc>
  </rcc>
  <rcc rId="1854" sId="1" odxf="1" dxf="1" numFmtId="4">
    <nc r="G286">
      <v>11465.36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5" sId="1" odxf="1" dxf="1" numFmtId="4">
    <nc r="H286">
      <v>11435.36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6" sId="1">
    <nc r="G287">
      <f>G288</f>
    </nc>
  </rcc>
  <rcc rId="1857" sId="1">
    <nc r="H287">
      <f>H288</f>
    </nc>
  </rcc>
  <rcc rId="1858" sId="1" odxf="1" dxf="1">
    <nc r="G288">
      <f>G289</f>
    </nc>
    <ndxf>
      <fill>
        <patternFill patternType="solid">
          <bgColor theme="0"/>
        </patternFill>
      </fill>
    </ndxf>
  </rcc>
  <rcc rId="1859" sId="1" odxf="1" dxf="1">
    <nc r="H288">
      <f>H289</f>
    </nc>
    <ndxf>
      <fill>
        <patternFill patternType="solid">
          <bgColor theme="0"/>
        </patternFill>
      </fill>
    </ndxf>
  </rcc>
  <rcc rId="1860" sId="1" odxf="1" dxf="1" numFmtId="4">
    <oc r="G289">
      <f>G287</f>
    </oc>
    <nc r="G289">
      <v>120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1" sId="1" odxf="1" dxf="1" numFmtId="4">
    <oc r="H289">
      <f>H287</f>
    </oc>
    <nc r="H289">
      <v>130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2" sId="1" odxf="1" dxf="1">
    <o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80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ill>
        <patternFill patternType="solid">
          <bgColor indexed="13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3" sId="1" odxf="1" dxf="1">
    <oc r="B280" t="inlineStr">
      <is>
        <t>18000 00000</t>
      </is>
    </oc>
    <nc r="B280" t="inlineStr">
      <is>
        <t>25000 00000</t>
      </is>
    </nc>
    <ndxf>
      <fill>
        <patternFill patternType="solid">
          <bgColor indexed="13"/>
        </patternFill>
      </fill>
    </ndxf>
  </rcc>
  <rfmt sheetId="1" sqref="C280" start="0" length="0">
    <dxf>
      <fill>
        <patternFill patternType="solid">
          <bgColor indexed="13"/>
        </patternFill>
      </fill>
    </dxf>
  </rfmt>
  <rcc rId="1864" sId="1" odxf="1" dxf="1" numFmtId="30">
    <nc r="D280">
      <v>968</v>
    </nc>
    <ndxf>
      <fill>
        <patternFill patternType="solid">
          <bgColor indexed="13"/>
        </patternFill>
      </fill>
    </ndxf>
  </rcc>
  <rcc rId="1865" sId="1" odxf="1" dxf="1">
    <nc r="E280" t="inlineStr">
      <is>
        <t>01</t>
      </is>
    </nc>
    <ndxf>
      <fill>
        <patternFill patternType="solid">
          <bgColor indexed="13"/>
        </patternFill>
      </fill>
    </ndxf>
  </rcc>
  <rcc rId="1866" sId="1" odxf="1" dxf="1">
    <nc r="F280" t="inlineStr">
      <is>
        <t>13</t>
      </is>
    </nc>
    <ndxf>
      <fill>
        <patternFill patternType="solid">
          <bgColor indexed="13"/>
        </patternFill>
      </fill>
    </ndxf>
  </rcc>
  <rcc rId="1867" sId="1">
    <oc r="G280">
      <f>G281</f>
    </oc>
    <nc r="G280">
      <f>G281+G284+G287</f>
    </nc>
  </rcc>
  <rcc rId="1868" sId="1">
    <oc r="H280">
      <f>H281</f>
    </oc>
    <nc r="H280">
      <f>H281+H284+H287</f>
    </nc>
  </rcc>
  <rcc rId="1869" sId="1">
    <oc r="G290">
      <f>G21+G31+G43+G47+G73+G77+G95+G108+G139+G175+G260+G264+G268+G272+G276</f>
    </oc>
    <nc r="G290">
      <f>G21+G31+G43+G47+G73+G77+G95+G108+G139+G175+G260+G264+G268+G272+G276+G280</f>
    </nc>
  </rcc>
  <rcc rId="1870" sId="1">
    <oc r="H290">
      <f>H21+H31+H43+H47+H73+H77+H95+H108+H139+H175+H260+H264+H268+H272+H276</f>
    </oc>
    <nc r="H290">
      <f>H21+H31+H43+H47+H73+H77+H95+H108+H139+H175+H260+H264+H268+H272+H276+H280</f>
    </nc>
  </rcc>
  <rcc rId="1871" sId="1" numFmtId="4">
    <oc r="G149">
      <v>805.6</v>
    </oc>
    <nc r="G149">
      <v>805.3</v>
    </nc>
  </rcc>
  <rcc rId="1872" sId="1" numFmtId="4">
    <oc r="H149">
      <v>805.6</v>
    </oc>
    <nc r="H149">
      <v>805.3</v>
    </nc>
  </rcc>
  <rcc rId="1873" sId="1" numFmtId="4">
    <oc r="G292">
      <v>1646490.04369</v>
    </oc>
    <nc r="G292">
      <v>1684319.09369</v>
    </nc>
  </rcc>
  <rcc rId="1874" sId="1" numFmtId="4">
    <oc r="H292">
      <v>1195936.5114200001</v>
    </oc>
    <nc r="H292">
      <v>1258825.5614199999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>
    <oc r="H3" t="inlineStr">
      <is>
        <t>от       марта 2023  № ___</t>
      </is>
    </oc>
    <nc r="H3" t="inlineStr">
      <is>
        <t>от 17  марта 2023  № 245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Мун.программы!$A$1:$H$290</formula>
    <oldFormula>Мун.программы!$A$5:$H$290</oldFormula>
  </rdn>
  <rdn rId="0" localSheetId="1" customView="1" name="Z_DD9A8EC0_978F_40DB_8504_69866F97ABC3_.wvu.FilterData" hidden="1" oldHidden="1">
    <formula>Мун.программы!$A$20:$Q$426</formula>
    <oldFormula>Мун.программы!$A$20:$Q$426</oldFormula>
  </rdn>
  <rcv guid="{DD9A8EC0-978F-40DB-8504-69866F97ABC3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0" sId="1" numFmtId="4">
    <oc r="G51">
      <v>5719.6</v>
    </oc>
    <nc r="G51">
      <v>5718.62</v>
    </nc>
  </rcc>
  <rcc rId="1881" sId="1" numFmtId="4">
    <oc r="H70">
      <v>134445.41099999999</v>
    </oc>
    <nc r="H70">
      <v>141763.05900000001</v>
    </nc>
  </rcc>
  <rcc rId="1882" sId="1" numFmtId="4">
    <oc r="G195">
      <v>20596.84</v>
    </oc>
    <nc r="G195">
      <v>20568.672999999999</v>
    </nc>
  </rcc>
  <rcc rId="1883" sId="1" numFmtId="4">
    <oc r="H195">
      <v>10171.839</v>
    </oc>
    <nc r="H195">
      <v>10143.672</v>
    </nc>
  </rcc>
  <rcc rId="1884" sId="1" numFmtId="4">
    <oc r="G203">
      <f>427.2+8.7</f>
    </oc>
    <nc r="G203">
      <v>8.6999999999999993</v>
    </nc>
  </rcc>
  <rcc rId="1885" sId="1" numFmtId="4">
    <oc r="H203">
      <f>402.1+8.2</f>
    </oc>
    <nc r="H203">
      <v>8.1999999999999993</v>
    </nc>
  </rcc>
  <rrc rId="1886" sId="1" ref="A204:XFD205" action="insertRow">
    <undo index="65535" exp="area" ref3D="1" dr="$B$1:$F$1048576" dn="Z_106D9765_3D6F_4710_B925_E44D9570C8C1_.wvu.Cols" sId="1"/>
  </rrc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cc rId="1887" sId="1" odxf="1" dxf="1">
    <nc r="D20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8" sId="1" odxf="1" dxf="1">
    <nc r="E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9" sId="1" odxf="1" dxf="1">
    <nc r="F20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90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91" sId="1" odxf="1" dxf="1">
    <nc r="H204">
      <f>H205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P204" start="0" length="0">
    <dxf>
      <font>
        <i/>
        <name val="Times New Roman CYR"/>
        <family val="1"/>
      </font>
    </dxf>
  </rfmt>
  <rfmt sheetId="1" sqref="Q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892" sId="1">
    <nc r="A205" t="inlineStr">
      <is>
        <t>Субсидии бюджетным учреждениям на иные цели</t>
      </is>
    </nc>
  </rcc>
  <rcc rId="1893" sId="1">
    <nc r="C205" t="inlineStr">
      <is>
        <t>612</t>
      </is>
    </nc>
  </rcc>
  <rcc rId="1894" sId="1">
    <nc r="D205" t="inlineStr">
      <is>
        <t>969</t>
      </is>
    </nc>
  </rcc>
  <rcc rId="1895" sId="1">
    <nc r="E205" t="inlineStr">
      <is>
        <t>07</t>
      </is>
    </nc>
  </rcc>
  <rcc rId="1896" sId="1">
    <nc r="F205" t="inlineStr">
      <is>
        <t>02</t>
      </is>
    </nc>
  </rcc>
  <rcc rId="1897" sId="1" numFmtId="4">
    <nc r="G205">
      <v>1408.367</v>
    </nc>
  </rcc>
  <rcc rId="1898" sId="1" numFmtId="4">
    <nc r="H205">
      <v>1408.367</v>
    </nc>
  </rcc>
  <rcc rId="1899" sId="1">
    <oc r="G187">
      <f>G190+G192+G194+G196+G198+G206+G200+G202+G208+G188</f>
    </oc>
    <nc r="G187">
      <f>G190+G192+G194+G196+G198+G206+G200+G202+G208+G188+G204</f>
    </nc>
  </rcc>
  <rcc rId="1900" sId="1">
    <oc r="H187">
      <f>H190+H192+H194+H196+H198+H206+H200+H202+H208+H188</f>
    </oc>
    <nc r="H187">
      <f>H190+H192+H194+H196+H198+H206+H200+H202+H208+H188+H204</f>
    </nc>
  </rcc>
  <rcc rId="1901" sId="1">
    <nc r="A20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1902" sId="1">
    <nc r="B204" t="inlineStr">
      <is>
        <t>10201 S2Р40</t>
      </is>
    </nc>
  </rcc>
  <rcc rId="1903" sId="1">
    <nc r="B205" t="inlineStr">
      <is>
        <t>10201 S2Р40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>
    <oc r="D76" t="inlineStr">
      <is>
        <t>976</t>
      </is>
    </oc>
    <nc r="D76" t="inlineStr">
      <is>
        <t>968</t>
      </is>
    </nc>
  </rcc>
  <rcc rId="493" sId="1">
    <oc r="D75" t="inlineStr">
      <is>
        <t>976</t>
      </is>
    </oc>
    <nc r="D75" t="inlineStr">
      <is>
        <t>968</t>
      </is>
    </nc>
  </rcc>
  <rcc rId="494" sId="1">
    <oc r="D74" t="inlineStr">
      <is>
        <t>976</t>
      </is>
    </oc>
    <nc r="D74" t="inlineStr">
      <is>
        <t>968</t>
      </is>
    </nc>
  </rcc>
  <rcc rId="495" sId="1">
    <oc r="D73" t="inlineStr">
      <is>
        <t>976</t>
      </is>
    </oc>
    <nc r="D73" t="inlineStr">
      <is>
        <t>968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numFmtId="4">
    <oc r="G87">
      <v>170665.52</v>
    </oc>
    <nc r="G87">
      <v>119645.11184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5" sId="1" numFmtId="4">
    <oc r="G294">
      <v>1684319.09369</v>
    </oc>
    <nc r="G294">
      <v>1868646.2255299999</v>
    </nc>
  </rcc>
  <rcc rId="1906" sId="1" numFmtId="4">
    <oc r="H294">
      <v>1258825.5614199999</v>
    </oc>
    <nc r="H294">
      <v>1267121.3094200001</v>
    </nc>
  </rcc>
  <rcc rId="1907" sId="1" numFmtId="4">
    <oc r="G84">
      <v>53933.37</v>
    </oc>
    <nc r="G84">
      <v>269.67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>
    <oc r="G67">
      <f>SUM(G68:G70)</f>
    </oc>
    <nc r="G67">
      <f>SUM(G68:G70)</f>
    </nc>
  </rcc>
  <rcc rId="1909" sId="1">
    <oc r="G62">
      <f>SUM(G63:G64)</f>
    </oc>
    <nc r="G62">
      <f>SUM(G63:G64)</f>
    </nc>
  </rcc>
  <rcc rId="1910" sId="1" numFmtId="4">
    <oc r="G294">
      <v>1868646.2255299999</v>
    </oc>
    <nc r="G294">
      <v>1976936.3886299999</v>
    </nc>
  </rcc>
  <rcc rId="1911" sId="1" numFmtId="4">
    <oc r="G103">
      <v>430</v>
    </oc>
    <nc r="G103">
      <v>400</v>
    </nc>
  </rcc>
  <rcc rId="1912" sId="1" numFmtId="4">
    <oc r="H103">
      <v>430</v>
    </oc>
    <nc r="H103">
      <v>400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13" sId="1" ref="A278:XFD281" action="insertRow">
    <undo index="65535" exp="area" ref3D="1" dr="$B$1:$F$1048576" dn="Z_106D9765_3D6F_4710_B925_E44D9570C8C1_.wvu.Cols" sId="1"/>
  </rrc>
  <rfmt sheetId="1" sqref="A278" start="0" length="0">
    <dxf>
      <font>
        <b/>
        <color indexed="8"/>
        <name val="Times New Roman"/>
        <family val="1"/>
      </font>
      <fill>
        <patternFill patternType="solid">
          <bgColor indexed="13"/>
        </patternFill>
      </fill>
      <alignment horizontal="general" vertical="top"/>
      <border outline="0">
        <left/>
        <right/>
        <top/>
        <bottom/>
      </border>
    </dxf>
  </rfmt>
  <rfmt sheetId="1" sqref="B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8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cc rId="1914" sId="1" odxf="1" dxf="1">
    <nc r="E2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F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G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H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A279" start="0" length="0">
    <dxf>
      <font>
        <i/>
        <color indexed="8"/>
        <name val="Times New Roman"/>
        <family val="1"/>
      </font>
    </dxf>
  </rfmt>
  <rfmt sheetId="1" sqref="B279" start="0" length="0">
    <dxf>
      <font>
        <i/>
        <name val="Times New Roman"/>
        <family val="1"/>
      </font>
    </dxf>
  </rfmt>
  <rfmt sheetId="1" sqref="C279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79" start="0" length="0">
    <dxf>
      <font>
        <i/>
        <name val="Times New Roman"/>
        <family val="1"/>
      </font>
    </dxf>
  </rfmt>
  <rcc rId="1915" sId="1" odxf="1" dxf="1">
    <nc r="E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79" start="0" length="0">
    <dxf>
      <font>
        <i/>
        <name val="Times New Roman"/>
        <family val="1"/>
      </font>
    </dxf>
  </rfmt>
  <rcc rId="1916" sId="1" odxf="1" dxf="1">
    <nc r="G279">
      <f>G280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17" sId="1" odxf="1" dxf="1">
    <nc r="H279">
      <f>H280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280" start="0" length="0">
    <dxf>
      <font>
        <i/>
        <color indexed="8"/>
        <name val="Times New Roman"/>
        <family val="1"/>
      </font>
    </dxf>
  </rfmt>
  <rfmt sheetId="1" sqref="B280" start="0" length="0">
    <dxf>
      <font>
        <i/>
        <name val="Times New Roman"/>
        <family val="1"/>
      </font>
    </dxf>
  </rfmt>
  <rfmt sheetId="1" sqref="C28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80" start="0" length="0">
    <dxf>
      <font>
        <i/>
        <name val="Times New Roman"/>
        <family val="1"/>
      </font>
    </dxf>
  </rfmt>
  <rcc rId="1918" sId="1" odxf="1" dxf="1">
    <nc r="E28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0" start="0" length="0">
    <dxf>
      <font>
        <i/>
        <name val="Times New Roman"/>
        <family val="1"/>
      </font>
    </dxf>
  </rfmt>
  <rfmt sheetId="1" sqref="G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19" sId="1">
    <nc r="A281" t="inlineStr">
      <is>
        <t>Прочие закупки товаров, работ и услуг для государственных (муниципальных) нужд</t>
      </is>
    </nc>
  </rcc>
  <rcc rId="1920" sId="1">
    <nc r="B281" t="inlineStr">
      <is>
        <t>160F2 55550</t>
      </is>
    </nc>
  </rcc>
  <rcc rId="1921" sId="1">
    <nc r="C281" t="inlineStr">
      <is>
        <t>244</t>
      </is>
    </nc>
  </rcc>
  <rcc rId="1922" sId="1" numFmtId="30">
    <nc r="D281">
      <v>968</v>
    </nc>
  </rcc>
  <rcc rId="1923" sId="1">
    <nc r="E281" t="inlineStr">
      <is>
        <t>05</t>
      </is>
    </nc>
  </rcc>
  <rcc rId="1924" sId="1">
    <nc r="F281" t="inlineStr">
      <is>
        <t>03</t>
      </is>
    </nc>
  </rcc>
  <rcc rId="1925" sId="1">
    <nc r="G281">
      <f>16520.17645+337.14644+16.8573+0.0169</f>
    </nc>
  </rcc>
  <rcc rId="1926" sId="1" numFmtId="4">
    <nc r="H281">
      <v>0</v>
    </nc>
  </rcc>
  <rfmt sheetId="1" sqref="A278" start="0" length="0">
    <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927" sId="1" odxf="1" dxf="1">
    <nc r="A279" t="inlineStr">
      <is>
        <t>Cтроительство и реконструкция (модернизация) объектов питьевого водоснабжения</t>
      </is>
    </nc>
    <ndxf>
      <alignment horizontal="general" vertical="top"/>
    </ndxf>
  </rcc>
  <rcc rId="1928" sId="1" odxf="1" dxf="1">
    <nc r="A28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i val="0"/>
        <color indexed="8"/>
        <name val="Times New Roman"/>
        <family val="1"/>
      </font>
      <fill>
        <patternFill patternType="solid"/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1929" sId="1">
    <nc r="B279" t="inlineStr">
      <is>
        <t>170F5 52430</t>
      </is>
    </nc>
  </rcc>
  <rfmt sheetId="1" sqref="C279" start="0" length="0">
    <dxf>
      <numFmt numFmtId="30" formatCode="@"/>
      <alignment horizontal="center" vertical="center"/>
    </dxf>
  </rfmt>
  <rcc rId="1930" sId="1" odxf="1" dxf="1">
    <nc r="B280" t="inlineStr">
      <is>
        <t>170F5 52430</t>
      </is>
    </nc>
    <ndxf>
      <font>
        <i val="0"/>
        <name val="Times New Roman"/>
        <family val="1"/>
      </font>
    </ndxf>
  </rcc>
  <rcc rId="1931" sId="1" odxf="1" dxf="1">
    <nc r="C280" t="inlineStr">
      <is>
        <t>414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1932" sId="1">
    <nc r="D278" t="inlineStr">
      <is>
        <t>971</t>
      </is>
    </nc>
  </rcc>
  <rcc rId="1933" sId="1" numFmtId="30">
    <nc r="D279" t="inlineStr">
      <is>
        <t>971</t>
      </is>
    </nc>
  </rcc>
  <rcc rId="1934" sId="1" numFmtId="30">
    <nc r="D280" t="inlineStr">
      <is>
        <t>971</t>
      </is>
    </nc>
  </rcc>
  <rrc rId="1935" sId="1" ref="A281:XFD281" action="deleteRow">
    <undo index="65535" exp="ref" v="1" dr="H281" r="H280" sId="1"/>
    <undo index="65535" exp="ref" v="1" dr="G281" r="G280" sId="1"/>
    <undo index="65535" exp="area" ref3D="1" dr="$B$1:$F$1048576" dn="Z_106D9765_3D6F_4710_B925_E44D9570C8C1_.wvu.Cols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1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1">
        <f>16520.17645+337.14644+16.8573+0.0169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1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36" sId="1">
    <nc r="F280" t="inlineStr">
      <is>
        <t>05</t>
      </is>
    </nc>
  </rcc>
  <rcc rId="1937" sId="1">
    <nc r="F279" t="inlineStr">
      <is>
        <t>05</t>
      </is>
    </nc>
  </rcc>
  <rcc rId="1938" sId="1">
    <nc r="F278" t="inlineStr">
      <is>
        <t>05</t>
      </is>
    </nc>
  </rcc>
  <rcc rId="1939" sId="1" numFmtId="4">
    <nc r="H280">
      <v>0</v>
    </nc>
  </rcc>
  <rrc rId="1940" sId="1" ref="A279:XFD279" action="insertRow">
    <undo index="65535" exp="area" ref3D="1" dr="$B$1:$F$1048576" dn="Z_106D9765_3D6F_4710_B925_E44D9570C8C1_.wvu.Cols" sId="1"/>
  </rrc>
  <rrc rId="1941" sId="1" ref="A280:XFD280" action="insertRow">
    <undo index="65535" exp="area" ref3D="1" dr="$B$1:$F$1048576" dn="Z_106D9765_3D6F_4710_B925_E44D9570C8C1_.wvu.Cols" sId="1"/>
  </rrc>
  <rrc rId="1942" sId="1" ref="A279:XFD279" action="insertRow">
    <undo index="65535" exp="area" ref3D="1" dr="$B$1:$F$1048576" dn="Z_106D9765_3D6F_4710_B925_E44D9570C8C1_.wvu.Cols" sId="1"/>
  </rrc>
  <rcc rId="1943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cc rId="1944" sId="1" odxf="1" dxf="1">
    <nc r="A28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945" sId="1" odxf="1" dxf="1">
    <nc r="A28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1946" sId="1" odxf="1" dxf="1">
    <nc r="B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9" start="0" length="0">
    <dxf>
      <font>
        <b val="0"/>
        <i/>
        <name val="Times New Roman"/>
        <family val="1"/>
      </font>
    </dxf>
  </rfmt>
  <rcc rId="1947" sId="1" odxf="1" dxf="1">
    <nc r="B280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80" start="0" length="0">
    <dxf>
      <font>
        <b val="0"/>
        <i/>
        <name val="Times New Roman"/>
        <family val="1"/>
      </font>
    </dxf>
  </rfmt>
  <rcc rId="1948" sId="1" odxf="1" dxf="1">
    <nc r="B281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49" sId="1" odxf="1" dxf="1">
    <nc r="C281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50" sId="1">
    <nc r="D279" t="inlineStr">
      <is>
        <t>968</t>
      </is>
    </nc>
  </rcc>
  <rcc rId="1951" sId="1">
    <nc r="E279" t="inlineStr">
      <is>
        <t>05</t>
      </is>
    </nc>
  </rcc>
  <rcc rId="1952" sId="1">
    <nc r="F279" t="inlineStr">
      <is>
        <t>02</t>
      </is>
    </nc>
  </rcc>
  <rcc rId="1953" sId="1">
    <nc r="D280" t="inlineStr">
      <is>
        <t>968</t>
      </is>
    </nc>
  </rcc>
  <rcc rId="1954" sId="1">
    <nc r="E280" t="inlineStr">
      <is>
        <t>05</t>
      </is>
    </nc>
  </rcc>
  <rcc rId="1955" sId="1">
    <nc r="F280" t="inlineStr">
      <is>
        <t>02</t>
      </is>
    </nc>
  </rcc>
  <rcc rId="1956" sId="1">
    <nc r="D281" t="inlineStr">
      <is>
        <t>968</t>
      </is>
    </nc>
  </rcc>
  <rcc rId="1957" sId="1">
    <nc r="E281" t="inlineStr">
      <is>
        <t>05</t>
      </is>
    </nc>
  </rcc>
  <rcc rId="1958" sId="1">
    <nc r="F281" t="inlineStr">
      <is>
        <t>02</t>
      </is>
    </nc>
  </rcc>
  <rfmt sheetId="1" sqref="A279:H281">
    <dxf>
      <fill>
        <patternFill>
          <bgColor theme="0"/>
        </patternFill>
      </fill>
    </dxf>
  </rfmt>
  <rfmt sheetId="1" sqref="A279:H279" start="0" length="2147483647">
    <dxf>
      <font>
        <b/>
      </font>
    </dxf>
  </rfmt>
  <rfmt sheetId="1" sqref="A279:H279" start="0" length="2147483647">
    <dxf>
      <font>
        <b val="0"/>
      </font>
    </dxf>
  </rfmt>
  <rfmt sheetId="1" sqref="A279:H279" start="0" length="2147483647">
    <dxf>
      <font>
        <i val="0"/>
      </font>
    </dxf>
  </rfmt>
  <rfmt sheetId="1" sqref="A279:H279" start="0" length="2147483647">
    <dxf>
      <font>
        <i/>
      </font>
    </dxf>
  </rfmt>
  <rfmt sheetId="1" sqref="A280:H280" start="0" length="2147483647">
    <dxf>
      <font>
        <i val="0"/>
      </font>
    </dxf>
  </rfmt>
  <rfmt sheetId="1" sqref="A280:H280" start="0" length="2147483647">
    <dxf>
      <font>
        <i/>
      </font>
    </dxf>
  </rfmt>
  <rfmt sheetId="1" sqref="A280:H280" start="0" length="2147483647">
    <dxf>
      <font>
        <b/>
      </font>
    </dxf>
  </rfmt>
  <rfmt sheetId="1" sqref="A280:H280" start="0" length="2147483647">
    <dxf>
      <font>
        <b val="0"/>
      </font>
    </dxf>
  </rfmt>
  <rfmt sheetId="1" sqref="A281:H281" start="0" length="2147483647">
    <dxf>
      <font>
        <b/>
      </font>
    </dxf>
  </rfmt>
  <rfmt sheetId="1" sqref="A281:H281" start="0" length="2147483647">
    <dxf>
      <font>
        <b val="0"/>
      </font>
    </dxf>
  </rfmt>
  <rfmt sheetId="1" sqref="A281:H281" start="0" length="2147483647">
    <dxf>
      <font>
        <i/>
      </font>
    </dxf>
  </rfmt>
  <rfmt sheetId="1" sqref="A281:H281" start="0" length="2147483647">
    <dxf>
      <font>
        <i val="0"/>
      </font>
    </dxf>
  </rfmt>
  <rcc rId="1959" sId="1">
    <nc r="G280">
      <f>G281</f>
    </nc>
  </rcc>
  <rcc rId="1960" sId="1">
    <nc r="G279">
      <f>G280</f>
    </nc>
  </rcc>
  <rfmt sheetId="1" sqref="A278">
    <dxf>
      <alignment vertical="center"/>
    </dxf>
  </rfmt>
  <rcc rId="1961" sId="1" odxf="1" dxf="1">
    <nc r="A278" t="inlineStr">
      <is>
        <t>Муниципальная программа "Чистая вода на 2020-2024 годы"</t>
      </is>
    </nc>
    <ndxf>
      <font>
        <i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/>
    </ndxf>
  </rcc>
  <rcc rId="1962" sId="1" odxf="1" dxf="1">
    <nc r="B278" t="inlineStr">
      <is>
        <t>17000 00000</t>
      </is>
    </nc>
    <ndxf>
      <font>
        <i/>
        <name val="Times New Roman"/>
        <family val="1"/>
      </font>
      <fill>
        <patternFill patternType="solid">
          <bgColor indexed="13"/>
        </patternFill>
      </fill>
    </ndxf>
  </rcc>
  <rfmt sheetId="1" sqref="C278" start="0" length="0">
    <dxf>
      <font>
        <i/>
        <name val="Times New Roman"/>
        <family val="1"/>
      </font>
      <fill>
        <patternFill patternType="solid">
          <bgColor indexed="13"/>
        </patternFill>
      </fill>
    </dxf>
  </rfmt>
  <rfmt sheetId="1" sqref="A278:H278" start="0" length="2147483647">
    <dxf>
      <font>
        <i val="0"/>
      </font>
    </dxf>
  </rfmt>
  <rcc rId="1963" sId="1" numFmtId="4">
    <nc r="H281">
      <v>0</v>
    </nc>
  </rcc>
  <rcc rId="1964" sId="1">
    <nc r="H280">
      <f>H281</f>
    </nc>
  </rcc>
  <rcc rId="1965" sId="1">
    <nc r="H279">
      <f>H280</f>
    </nc>
  </rcc>
  <rcc rId="1966" sId="1">
    <oc r="G298">
      <f>G21+G31+G43+G47+G73+G77+G95+G108+G139+G175+G262+G266+G270+G274+G284+G288</f>
    </oc>
    <nc r="G298">
      <f>G21+G31+G43+G47+G73+G77+G95+G108+G139+G175+G262+G266+G270+G274+G284+G288+G278</f>
    </nc>
  </rcc>
  <rrc rId="1967" sId="1" ref="A279:XFD279" action="deleteRow">
    <undo index="65535" exp="ref" v="1" dr="H279" r="H278" sId="1"/>
    <undo index="0" exp="ref" v="1" dr="G279" r="G278" sId="1"/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8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9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9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7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70" sId="1">
    <nc r="G278">
      <f>G279</f>
    </nc>
  </rcc>
  <rcc rId="1971" sId="1" numFmtId="4">
    <nc r="G280">
      <v>288059.21999999997</v>
    </nc>
  </rcc>
  <rcc rId="1972" sId="1">
    <nc r="H278">
      <f>H279</f>
    </nc>
  </rcc>
  <rrc rId="1973" sId="1" ref="A279:XFD279" action="insertRow">
    <undo index="65535" exp="area" ref3D="1" dr="$B$1:$F$1048576" dn="Z_106D9765_3D6F_4710_B925_E44D9570C8C1_.wvu.Cols" sId="1"/>
  </rrc>
  <rrc rId="1974" sId="1" ref="A286:XFD289" action="insertRow">
    <undo index="65535" exp="area" ref3D="1" dr="$B$1:$F$1048576" dn="Z_106D9765_3D6F_4710_B925_E44D9570C8C1_.wvu.Cols" sId="1"/>
  </rrc>
  <rm rId="1975" sheetId="1" source="A100:XFD103" destination="A286:XFD289" sourceSheetId="1">
    <rfmt sheetId="1" xfDxf="1" sqref="A286:XFD286" start="0" length="0">
      <dxf>
        <font>
          <i/>
          <name val="Times New Roman CYR"/>
          <family val="1"/>
        </font>
        <alignment wrapText="1"/>
      </dxf>
    </rfmt>
    <rfmt sheetId="1" xfDxf="1" sqref="A287:XFD287" start="0" length="0">
      <dxf>
        <font>
          <i/>
          <name val="Times New Roman CYR"/>
          <family val="1"/>
        </font>
        <alignment wrapText="1"/>
      </dxf>
    </rfmt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76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7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8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9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cc rId="1980" sId="1" odxf="1" dxf="1">
    <oc r="A28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8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81" sId="1">
    <oc r="A283" t="inlineStr">
      <is>
        <t>Основное мероприятие "Уничтожение очагов произрастания дикорастущих наркотикосодержащих растений"</t>
      </is>
    </oc>
    <nc r="A283" t="inlineStr">
      <is>
        <t>Основное мероприятие "Уничтожение очагов произрастания дикорастущей конопли"</t>
      </is>
    </nc>
  </rcc>
  <rcc rId="1982" sId="1" odxf="1" dxf="1">
    <oc r="B282" t="inlineStr">
      <is>
        <t>07200 00000</t>
      </is>
    </oc>
    <nc r="B282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82" start="0" length="0">
    <dxf>
      <font>
        <i val="0"/>
        <name val="Times New Roman"/>
        <family val="1"/>
      </font>
    </dxf>
  </rfmt>
  <rcc rId="1983" sId="1">
    <oc r="B283" t="inlineStr">
      <is>
        <t>07201 00000</t>
      </is>
    </oc>
    <nc r="B283" t="inlineStr">
      <is>
        <t>24001 00000</t>
      </is>
    </nc>
  </rcc>
  <rcc rId="1984" sId="1">
    <oc r="B284" t="inlineStr">
      <is>
        <t>07201 S2570</t>
      </is>
    </oc>
    <nc r="B284" t="inlineStr">
      <is>
        <t>24001 82900</t>
      </is>
    </nc>
  </rcc>
  <rcc rId="1985" sId="1">
    <oc r="B285" t="inlineStr">
      <is>
        <t>07201 S2570</t>
      </is>
    </oc>
    <nc r="B285" t="inlineStr">
      <is>
        <t>24001 82900</t>
      </is>
    </nc>
  </rcc>
  <rcc rId="1986" sId="1">
    <oc r="D282" t="inlineStr">
      <is>
        <t>968</t>
      </is>
    </oc>
    <nc r="D282" t="inlineStr">
      <is>
        <t>976</t>
      </is>
    </nc>
  </rcc>
  <rcc rId="1987" sId="1">
    <oc r="D283" t="inlineStr">
      <is>
        <t>968</t>
      </is>
    </oc>
    <nc r="D283" t="inlineStr">
      <is>
        <t>976</t>
      </is>
    </nc>
  </rcc>
  <rcc rId="1988" sId="1">
    <oc r="D284" t="inlineStr">
      <is>
        <t>968</t>
      </is>
    </oc>
    <nc r="D284" t="inlineStr">
      <is>
        <t>976</t>
      </is>
    </nc>
  </rcc>
  <rcc rId="1989" sId="1">
    <oc r="D285" t="inlineStr">
      <is>
        <t>968</t>
      </is>
    </oc>
    <nc r="D285" t="inlineStr">
      <is>
        <t>976</t>
      </is>
    </nc>
  </rcc>
  <rcc rId="1990" sId="1" numFmtId="4">
    <oc r="G285">
      <v>400</v>
    </oc>
    <nc r="G285">
      <v>800</v>
    </nc>
  </rcc>
  <rcc rId="1991" sId="1" numFmtId="4">
    <oc r="H285">
      <v>400</v>
    </oc>
    <nc r="H285">
      <v>800</v>
    </nc>
  </rcc>
  <rfmt sheetId="1" sqref="A282:H282">
    <dxf>
      <fill>
        <patternFill patternType="solid">
          <bgColor rgb="FFFFFF00"/>
        </patternFill>
      </fill>
    </dxf>
  </rfmt>
  <rcv guid="{DD9A8EC0-978F-40DB-8504-69866F97ABC3}" action="delete"/>
  <rdn rId="0" localSheetId="1" customView="1" name="Z_DD9A8EC0_978F_40DB_8504_69866F97ABC3_.wvu.PrintArea" hidden="1" oldHidden="1">
    <formula>Мун.программы!$A$1:$H$296</formula>
    <oldFormula>Мун.программы!$A$1:$H$296</oldFormula>
  </rdn>
  <rdn rId="0" localSheetId="1" customView="1" name="Z_DD9A8EC0_978F_40DB_8504_69866F97ABC3_.wvu.FilterData" hidden="1" oldHidden="1">
    <formula>Мун.программы!$A$20:$Q$432</formula>
    <oldFormula>Мун.программы!$A$20:$Q$432</oldFormula>
  </rdn>
  <rcv guid="{DD9A8EC0-978F-40DB-8504-69866F97ABC3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94" sId="1" ref="A270:XFD273" action="insertRow">
    <undo index="65535" exp="area" ref3D="1" dr="$B$1:$F$1048576" dn="Z_106D9765_3D6F_4710_B925_E44D9570C8C1_.wvu.Cols" sId="1"/>
  </rrc>
  <rm rId="1995" sheetId="1" source="A96:XFD99" destination="A270:XFD273" sourceSheetId="1">
    <rfmt sheetId="1" xfDxf="1" sqref="A270:XFD270" start="0" length="0">
      <dxf>
        <font>
          <i/>
          <name val="Times New Roman CYR"/>
          <family val="1"/>
        </font>
        <alignment wrapText="1"/>
      </dxf>
    </rfmt>
    <rfmt sheetId="1" xfDxf="1" sqref="A271:XFD271" start="0" length="0">
      <dxf>
        <font>
          <i/>
          <name val="Times New Roman CYR"/>
          <family val="1"/>
        </font>
        <alignment wrapText="1"/>
      </dxf>
    </rfmt>
    <rfmt sheetId="1" xfDxf="1" sqref="A272:XFD272" start="0" length="0">
      <dxf>
        <font>
          <i/>
          <name val="Times New Roman CYR"/>
          <family val="1"/>
        </font>
        <alignment wrapText="1"/>
      </dxf>
    </rfmt>
    <rfmt sheetId="1" xfDxf="1" sqref="A273:XFD273" start="0" length="0">
      <dxf>
        <font>
          <i/>
          <name val="Times New Roman CYR"/>
          <family val="1"/>
        </font>
        <alignment wrapText="1"/>
      </dxf>
    </rfmt>
    <rfmt sheetId="1" sqref="A270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2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96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7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8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00" sId="1" odxf="1" dxf="1">
    <oc r="A266" t="inlineStr">
      <is>
        <t>Подпрограмма «Повышение безопасности дорожного движения в Селенгинском районе»</t>
      </is>
    </oc>
    <nc r="A26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01" sId="1">
    <oc r="A267" t="inlineStr">
      <is>
        <t>Основное мероприятие "Снижение уровня аварийности и травматизма на дорогах района"</t>
      </is>
    </oc>
    <nc r="A267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2002" sId="1">
    <oc r="A268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68" t="inlineStr">
      <is>
        <t>Прочие мероприятия , связанные с выполнением обязательств ОМСУ</t>
      </is>
    </nc>
  </rcc>
  <rcc rId="2003" sId="1" odxf="1" dxf="1">
    <oc r="B266" t="inlineStr">
      <is>
        <t>07100 00000</t>
      </is>
    </oc>
    <nc r="B266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C266" start="0" length="0">
    <dxf>
      <font>
        <i val="0"/>
        <name val="Times New Roman"/>
        <family val="1"/>
      </font>
    </dxf>
  </rfmt>
  <rcc rId="2004" sId="1">
    <oc r="B267" t="inlineStr">
      <is>
        <t>07101 00000</t>
      </is>
    </oc>
    <nc r="B267" t="inlineStr">
      <is>
        <t>15001 00000</t>
      </is>
    </nc>
  </rcc>
  <rcc rId="2005" sId="1">
    <oc r="B268" t="inlineStr">
      <is>
        <t>07101 S2660</t>
      </is>
    </oc>
    <nc r="B268" t="inlineStr">
      <is>
        <t>15001 82900</t>
      </is>
    </nc>
  </rcc>
  <rcc rId="2006" sId="1">
    <oc r="B269" t="inlineStr">
      <is>
        <t>07101 S2660</t>
      </is>
    </oc>
    <nc r="B269" t="inlineStr">
      <is>
        <t>15001 82900</t>
      </is>
    </nc>
  </rcc>
  <rfmt sheetId="1" sqref="A266:H266">
    <dxf>
      <fill>
        <patternFill patternType="solid">
          <bgColor rgb="FFFFFF00"/>
        </patternFill>
      </fill>
    </dxf>
  </rfmt>
  <rfmt sheetId="1" sqref="A266:H266" start="0" length="2147483647">
    <dxf>
      <font>
        <i/>
      </font>
    </dxf>
  </rfmt>
  <rfmt sheetId="1" sqref="A266:H266" start="0" length="2147483647">
    <dxf>
      <font>
        <i val="0"/>
      </font>
    </dxf>
  </rfmt>
  <rrc rId="2007" sId="1" ref="A282:XFD285" action="insertRow">
    <undo index="65535" exp="area" ref3D="1" dr="$B$1:$F$1048576" dn="Z_106D9765_3D6F_4710_B925_E44D9570C8C1_.wvu.Cols" sId="1"/>
  </rrc>
  <rm rId="2008" sheetId="1" source="A96:XFD99" destination="A282:XFD285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xfDxf="1" sqref="A283:XFD283" start="0" length="0">
      <dxf>
        <font>
          <i/>
          <name val="Times New Roman CYR"/>
          <family val="1"/>
        </font>
        <alignment wrapText="1"/>
      </dxf>
    </rfmt>
    <rfmt sheetId="1" xfDxf="1" sqref="A284:XFD284" start="0" length="0">
      <dxf>
        <font>
          <i/>
          <name val="Times New Roman CYR"/>
          <family val="1"/>
        </font>
        <alignment wrapText="1"/>
      </dxf>
    </rfmt>
    <rfmt sheetId="1" xfDxf="1" sqref="A285:XFD285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0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1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2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13" sId="1" odxf="1" dxf="1">
    <oc r="A278" t="inlineStr">
      <is>
        <t>Подпрограмма «Профилактика преступлений и иных правонарушений  в Селенгинском районе»</t>
      </is>
    </oc>
    <nc r="A27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14" sId="1">
    <oc r="A279" t="inlineStr">
      <is>
        <t>Основное мероприятие "Профилактика преступлений и иных правонарушений в Селенгинском районе"</t>
      </is>
    </oc>
    <nc r="A27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2015" sId="1" odxf="1" dxf="1">
    <oc r="A280" t="inlineStr">
      <is>
        <t xml:space="preserve">Профилактика преступлений и иных правонарушений </t>
      </is>
    </oc>
    <nc r="A28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2016" sId="1" odxf="1" dxf="1">
    <oc r="B278" t="inlineStr">
      <is>
        <t>07300 00000</t>
      </is>
    </oc>
    <nc r="B27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78" start="0" length="0">
    <dxf>
      <font>
        <i val="0"/>
        <name val="Times New Roman"/>
        <family val="1"/>
      </font>
    </dxf>
  </rfmt>
  <rcc rId="2017" sId="1">
    <oc r="B279" t="inlineStr">
      <is>
        <t>07301 00000</t>
      </is>
    </oc>
    <nc r="B279" t="inlineStr">
      <is>
        <t>21001 00000</t>
      </is>
    </nc>
  </rcc>
  <rcc rId="2018" sId="1">
    <oc r="B280" t="inlineStr">
      <is>
        <t>07301 S2660</t>
      </is>
    </oc>
    <nc r="B280" t="inlineStr">
      <is>
        <t>21001 82900</t>
      </is>
    </nc>
  </rcc>
  <rcc rId="2019" sId="1">
    <oc r="B281" t="inlineStr">
      <is>
        <t>07301  S2660</t>
      </is>
    </oc>
    <nc r="B281" t="inlineStr">
      <is>
        <t>21001 82900</t>
      </is>
    </nc>
  </rcc>
  <rfmt sheetId="1" sqref="A278:H278" start="0" length="2147483647">
    <dxf>
      <font>
        <i/>
      </font>
    </dxf>
  </rfmt>
  <rfmt sheetId="1" sqref="A278:H278" start="0" length="2147483647">
    <dxf>
      <font>
        <i val="0"/>
      </font>
    </dxf>
  </rfmt>
  <rfmt sheetId="1" sqref="A278:H278">
    <dxf>
      <fill>
        <patternFill patternType="solid">
          <bgColor rgb="FFFFFF00"/>
        </patternFill>
      </fill>
    </dxf>
  </rfmt>
  <rcc rId="2020" sId="1">
    <oc r="G95">
      <f>G262+G282+G278</f>
    </oc>
    <nc r="G95"/>
  </rcc>
  <rcc rId="2021" sId="1">
    <oc r="H95">
      <f>H262+H282+H278</f>
    </oc>
    <nc r="H95"/>
  </rcc>
  <rrc rId="2022" sId="1" ref="A95:XFD95" action="deleteRow">
    <undo index="65535" exp="ref" v="1" dr="H95" r="H296" sId="1"/>
    <undo index="65535" exp="ref" v="1" dr="G95" r="G296" sId="1"/>
    <undo index="65535" exp="area" ref3D="1" dr="$B$1:$F$1048576" dn="Z_106D9765_3D6F_4710_B925_E44D9570C8C1_.wvu.Cols" sId="1"/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023" sId="1">
    <oc r="G295">
      <f>G21+G31+G43+G47+G73+G77+G95+G104+G135+G171+G258+G262+G266+G270+G278+G286+G274</f>
    </oc>
    <nc r="G295">
      <f>G21+G31+G43+G47+G73+G77+G95+G126+G162+G249+G253+G257+G265+G273+G285+G269+G281+G261+G277</f>
    </nc>
  </rcc>
  <rcc rId="2024" sId="1">
    <oc r="H295">
      <f>H21+H31+H43+H47+H73+H77+H95+H104+H135+H171+H258+H262+H266+H270+H278+H286</f>
    </oc>
    <nc r="H295">
      <f>H21+H31+H43+H47+H73+H77+H95+H126+H162+H249+H253+H257+H265+H273+H285+H269+H281+H261+H277</f>
    </nc>
  </rcc>
  <rfmt sheetId="1" xfDxf="1" sqref="A270" start="0" length="0">
    <dxf>
      <font>
        <b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70:D270">
    <dxf>
      <fill>
        <patternFill>
          <bgColor theme="0"/>
        </patternFill>
      </fill>
    </dxf>
  </rfmt>
  <rfmt sheetId="1" sqref="A270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2025" sId="1">
    <nc r="A270" t="inlineStr">
      <is>
        <t>Основное мероприятие "Улучшение качества питьевой воды"</t>
      </is>
    </nc>
  </rcc>
  <rcc rId="2026" sId="1" odxf="1" dxf="1">
    <nc r="B270" t="inlineStr">
      <is>
        <t>17001 00000</t>
      </is>
    </nc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27" sId="1" odxf="1" dxf="1">
    <nc r="D270" t="inlineStr">
      <is>
        <t>971</t>
      </is>
    </nc>
    <ndxf>
      <fill>
        <patternFill patternType="none">
          <bgColor indexed="65"/>
        </patternFill>
      </fill>
    </ndxf>
  </rcc>
  <rcc rId="2028" sId="1">
    <nc r="E270" t="inlineStr">
      <is>
        <t>05</t>
      </is>
    </nc>
  </rcc>
  <rcc rId="2029" sId="1">
    <nc r="F270" t="inlineStr">
      <is>
        <t>05</t>
      </is>
    </nc>
  </rcc>
  <rcc rId="2030" sId="1">
    <nc r="H270">
      <f>H271</f>
    </nc>
  </rcc>
  <rfmt sheetId="1" sqref="A270:H271" start="0" length="2147483647">
    <dxf>
      <font>
        <i val="0"/>
      </font>
    </dxf>
  </rfmt>
  <rfmt sheetId="1" sqref="A270:H271" start="0" length="2147483647">
    <dxf>
      <font>
        <i/>
      </font>
    </dxf>
  </rfmt>
  <rfmt sheetId="1" sqref="A272:H272" start="0" length="2147483647">
    <dxf>
      <font>
        <i/>
        <charset val="204"/>
      </font>
    </dxf>
  </rfmt>
  <rfmt sheetId="1" sqref="A272:H272" start="0" length="2147483647">
    <dxf>
      <font>
        <i val="0"/>
      </font>
    </dxf>
  </rfmt>
  <rcc rId="2031" sId="1">
    <nc r="G270">
      <f>G271</f>
    </nc>
  </rcc>
  <rcc rId="2032" sId="1">
    <oc r="G269">
      <f>G271</f>
    </oc>
    <nc r="G269">
      <f>G270</f>
    </nc>
  </rcc>
  <rcv guid="{DD9A8EC0-978F-40DB-8504-69866F97ABC3}" action="delete"/>
  <rdn rId="0" localSheetId="1" customView="1" name="Z_DD9A8EC0_978F_40DB_8504_69866F97ABC3_.wvu.PrintArea" hidden="1" oldHidden="1">
    <formula>Мун.программы!$A$1:$H$295</formula>
    <oldFormula>Мун.программы!$A$1:$H$295</oldFormula>
  </rdn>
  <rdn rId="0" localSheetId="1" customView="1" name="Z_DD9A8EC0_978F_40DB_8504_69866F97ABC3_.wvu.FilterData" hidden="1" oldHidden="1">
    <formula>Мун.программы!$A$20:$Q$431</formula>
    <oldFormula>Мун.программы!$A$20:$Q$431</oldFormula>
  </rdn>
  <rcv guid="{DD9A8EC0-978F-40DB-8504-69866F97ABC3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5" sId="1" numFmtId="4">
    <oc r="G284">
      <v>800</v>
    </oc>
    <nc r="G284">
      <v>400</v>
    </nc>
  </rcc>
  <rcc rId="2036" sId="1" numFmtId="4">
    <oc r="H284">
      <v>800</v>
    </oc>
    <nc r="H284">
      <v>400</v>
    </nc>
  </rcc>
  <rcc rId="2037" sId="1">
    <oc r="G295">
      <f>G21+G31+G43+G47+G73+G77+G95+G126+G162+G249+G253+G257+G265+G273+G285+G269+G281+G261+G277</f>
    </oc>
    <nc r="G295">
      <f>G21+G31+G43+G47+G73+G77+G95+G126+G162+G249+G253+G257+G261+G265+G269+G273+G277+G281+G285</f>
    </nc>
  </rcc>
  <rcc rId="2038" sId="1">
    <oc r="H295">
      <f>H21+H31+H43+H47+H73+H77+H95+H126+H162+H249+H253+H257+H265+H273+H285+H269+H281+H261+H277</f>
    </oc>
    <nc r="H295">
      <f>H21+H31+H43+H47+H73+H77+H95+H126+H162+H249+H253+H257+H261+H265+H269+H273+H277+H281+H285</f>
    </nc>
  </rcc>
  <rcc rId="2039" sId="1" numFmtId="4">
    <oc r="G297">
      <v>1976936.3886299999</v>
    </oc>
    <nc r="G297">
      <v>1868646.2255299999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0" sId="1" numFmtId="4">
    <oc r="G51">
      <v>5718.62</v>
    </oc>
    <nc r="G51">
      <f>5718.62+269.67</f>
    </nc>
  </rcc>
  <rcc rId="2041" sId="1" numFmtId="4">
    <oc r="G84">
      <v>269.67</v>
    </oc>
    <nc r="G84">
      <v>0</v>
    </nc>
  </rcc>
  <rrc rId="2042" sId="1" ref="A82:XFD82" action="deleteRow">
    <undo index="65535" exp="ref" v="1" dr="H82" r="H81" sId="1"/>
    <undo index="0" exp="ref" v="1" dr="G82" r="G81" sId="1"/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3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4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2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045" sId="1">
    <oc r="G81">
      <f>#REF!+G82+G85</f>
    </oc>
    <nc r="G81">
      <f>G82+G85</f>
    </nc>
  </rcc>
  <rcc rId="2046" sId="1" odxf="1" dxf="1">
    <oc r="H81">
      <f>#REF!</f>
    </oc>
    <nc r="H81">
      <f>H82+H85</f>
    </nc>
    <odxf>
      <alignment wrapText="1"/>
    </odxf>
    <ndxf>
      <alignment wrapText="0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7" sId="1" numFmtId="4">
    <oc r="H294">
      <v>1267121.3094200001</v>
    </oc>
    <nc r="H294">
      <v>1267091.3094200001</v>
    </nc>
  </rcc>
  <rcc rId="2048" sId="1" numFmtId="4">
    <oc r="G294">
      <v>1868646.2255299999</v>
    </oc>
    <nc r="G294">
      <v>1868616.2255299999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9" sId="1" numFmtId="4">
    <oc r="G218">
      <v>64.3</v>
    </oc>
    <nc r="G218">
      <v>64.262</v>
    </nc>
  </rcc>
  <rcc rId="2050" sId="1" numFmtId="4">
    <oc r="H218">
      <v>64.3</v>
    </oc>
    <nc r="H218">
      <v>64.262</v>
    </nc>
  </rcc>
  <rcc rId="2051" sId="1" numFmtId="4">
    <oc r="G219">
      <v>19.399999999999999</v>
    </oc>
    <nc r="G219">
      <v>19.407</v>
    </nc>
  </rcc>
  <rcc rId="2052" sId="1" numFmtId="4">
    <oc r="H219">
      <v>19.399999999999999</v>
    </oc>
    <nc r="H219">
      <v>19.407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4" sId="1">
    <oc r="H3" t="inlineStr">
      <is>
        <t>от __ июня 2023  № ___</t>
      </is>
    </oc>
    <nc r="H3" t="inlineStr">
      <is>
        <t>от "28" июня 2023 г. № 269</t>
      </is>
    </nc>
  </rcc>
  <rdn rId="0" localSheetId="1" customView="1" name="Z_CE9B43C0_7C32_48E1_B1FE_FA78D0E9BE22_.wvu.PrintArea" hidden="1" oldHidden="1">
    <formula>Мун.программы!$A$1:$H$292</formula>
  </rdn>
  <rdn rId="0" localSheetId="1" customView="1" name="Z_CE9B43C0_7C32_48E1_B1FE_FA78D0E9BE22_.wvu.FilterData" hidden="1" oldHidden="1">
    <formula>Мун.программы!$A$20:$Q$428</formula>
  </rdn>
  <rcv guid="{CE9B43C0-7C32-48E1-B1FE-FA78D0E9BE2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C232" t="inlineStr">
      <is>
        <t>612</t>
      </is>
    </oc>
    <nc r="C232" t="inlineStr">
      <is>
        <t>244</t>
      </is>
    </nc>
  </rcc>
  <rcc rId="500" sId="1" odxf="1" dxf="1">
    <oc r="A232" t="inlineStr">
      <is>
        <t>Субсидии бюджетным учреждениям на иные цели</t>
      </is>
    </oc>
    <nc r="A232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7" sId="1">
    <oc r="H3" t="inlineStr">
      <is>
        <t>от __ июня 2023  № ___</t>
      </is>
    </oc>
    <nc r="H3" t="inlineStr">
      <is>
        <t>от 28 июня 2023  № 269</t>
      </is>
    </nc>
  </rcc>
  <rcft rId="2054" sheetId="1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8" sId="1">
    <oc r="C288" t="inlineStr">
      <is>
        <t>540</t>
      </is>
    </oc>
    <nc r="C288" t="inlineStr">
      <is>
        <t>622</t>
      </is>
    </nc>
  </rcc>
  <rcc rId="2059" sId="1" odxf="1" dxf="1">
    <oc r="A288" t="inlineStr">
      <is>
        <t>Иные межбюджетные трансферты</t>
      </is>
    </oc>
    <nc r="A28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2060" sId="1">
    <oc r="C68" t="inlineStr">
      <is>
        <t>244</t>
      </is>
    </oc>
    <nc r="C68" t="inlineStr">
      <is>
        <t>540</t>
      </is>
    </nc>
  </rcc>
  <rcc rId="2061" sId="1" odxf="1" dxf="1">
    <oc r="A68" t="inlineStr">
      <is>
        <t>Прочие закупки товаров, работ и услуг для государственных (муниципальных) нужд</t>
      </is>
    </oc>
    <nc r="A6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3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  <rcc rId="2064" sId="1">
    <oc r="A31" t="inlineStr">
      <is>
        <t>Муниципальная Программа «Управление муниципальными финансами и муниципальным долгом на 2020-2024 годы</t>
      </is>
    </oc>
    <nc r="A31" t="inlineStr">
      <is>
        <t>Муниципальная Программа «Управление муниципальными финансами и муниципальным долгом на 2020-2025 годы</t>
      </is>
    </nc>
  </rcc>
  <rcc rId="2065" sId="1">
    <oc r="A4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4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2066" sId="1">
    <o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2067" sId="1">
    <oc r="A73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3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2068" sId="1">
    <oc r="A77" t="inlineStr">
      <is>
        <t>Муниципальная программа «Комплексное развитие сельских территорий в Селенгинском районе на 2020-2024 годы»</t>
      </is>
    </oc>
    <nc r="A7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2069" sId="1">
    <oc r="A92" t="inlineStr">
      <is>
        <t>Муниципальная Программа «Развитие культуры в Селенгинском районе на 2020 – 2024 годы»</t>
      </is>
    </oc>
    <nc r="A92" t="inlineStr">
      <is>
        <t>Муниципальная Программа «Развитие культуры в Селенгинском районе на 2020 – 2025 годы»</t>
      </is>
    </nc>
  </rcc>
  <rcc rId="2070" sId="1">
    <oc r="A12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12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2071" sId="1">
    <oc r="A159" t="inlineStr">
      <is>
        <t>МП «Развитие образования в Селенгинском районе на 2020-2024 годы"</t>
      </is>
    </oc>
    <nc r="A159" t="inlineStr">
      <is>
        <t>МП «Развитие образования в Селенгинском районе на 2020-2025 годы"</t>
      </is>
    </nc>
  </rcc>
  <rcc rId="2072" sId="1">
    <oc r="A246" t="inlineStr">
      <is>
        <t>Муниципальная программа «Старшее поколение на 2020-2024 годы</t>
      </is>
    </oc>
    <nc r="A246" t="inlineStr">
      <is>
        <t>Муниципальная программа «Старшее поколение на 2020-2025 годы</t>
      </is>
    </nc>
  </rcc>
  <rcc rId="2073" sId="1">
    <oc r="A250" t="inlineStr">
      <is>
        <t>Муниципальная программа «Организация общественных работ на территории Селенгинского района на 2020-2024 годы</t>
      </is>
    </oc>
    <nc r="A25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2074" sId="1">
    <oc r="A254" t="inlineStr">
      <is>
        <t>Муниципальная программа «Поддержка сельских и городских инициатив в Селенгинском районе на 2020-2024 годы»</t>
      </is>
    </oc>
    <nc r="A254" t="inlineStr">
      <is>
        <t>Муниципальная программа «Поддержка сельских и городских инициатив в Селенгинском районе на 2020-2025 годы»</t>
      </is>
    </nc>
  </rcc>
  <rcc rId="2075" sId="1">
    <o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2076" sId="1">
    <oc r="A266" t="inlineStr">
      <is>
        <t>Муниципальная программа "Чистая вода на 2020-2024 годы"</t>
      </is>
    </oc>
    <nc r="A266" t="inlineStr">
      <is>
        <t>Муниципальная программа "Чистая вода на 2020-2025 годы"</t>
      </is>
    </nc>
  </rcc>
  <rcc rId="2077" sId="1">
    <oc r="B267" t="inlineStr">
      <is>
        <t>17001 00000</t>
      </is>
    </oc>
    <nc r="B267" t="inlineStr">
      <is>
        <t>170F5 00000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8" sId="1">
    <o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2079" sId="1">
    <oc r="A274" t="inlineStr">
      <is>
        <t>Муниципальная программа "Профилактика преступлений и иных правонарушений в Селенгинском районе"</t>
      </is>
    </oc>
    <nc r="A274" t="inlineStr">
      <is>
        <t>Муниципальная программа "Профилактика преступлений и иных правонарушений в Селенгинском районе на 2023-2025 годы"</t>
      </is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0" sId="1">
    <oc r="H3" t="inlineStr">
      <is>
        <t>от ________ 2023  № ____</t>
      </is>
    </oc>
    <nc r="H3" t="inlineStr">
      <is>
        <t>от "02" ноября  2023  № 286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G174">
      <f>43055.38+4690.6</f>
    </oc>
    <nc r="G174">
      <f>43055.38+4690.6-2842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6176C91F-7D48-4DB8-AC83-E8A150EF49AD}" name="Use_222-3" id="-1858294224" dateTime="2022-03-03T13:42:38"/>
  <userInfo guid="{E000DAB5-11AA-4D8E-B123-0E96A309DABF}" name="Артем" id="-665927613" dateTime="2023-09-01T10:04:19"/>
  <userInfo guid="{E000DAB5-11AA-4D8E-B123-0E96A309DABF}" name="Артем" id="-665958558" dateTime="2023-09-01T10:10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438"/>
  <sheetViews>
    <sheetView tabSelected="1" view="pageBreakPreview" topLeftCell="A85" zoomScaleNormal="100" zoomScaleSheetLayoutView="100" workbookViewId="0">
      <selection activeCell="G96" sqref="G96"/>
    </sheetView>
  </sheetViews>
  <sheetFormatPr defaultRowHeight="12.75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7" style="1" customWidth="1"/>
    <col min="10" max="10" width="14.8554687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>
      <c r="H1" s="3" t="s">
        <v>360</v>
      </c>
    </row>
    <row r="2" spans="1:9">
      <c r="H2" s="3" t="s">
        <v>348</v>
      </c>
    </row>
    <row r="3" spans="1:9">
      <c r="H3" s="3" t="s">
        <v>398</v>
      </c>
    </row>
    <row r="5" spans="1:9" ht="12.75" customHeight="1">
      <c r="A5" s="29"/>
      <c r="B5" s="29"/>
      <c r="C5" s="29"/>
      <c r="D5" s="29"/>
      <c r="E5" s="29"/>
      <c r="F5" s="2"/>
      <c r="G5" s="57"/>
      <c r="H5" s="3" t="s">
        <v>283</v>
      </c>
    </row>
    <row r="6" spans="1:9" ht="12.75" customHeight="1">
      <c r="A6" s="29"/>
      <c r="B6" s="29"/>
      <c r="C6" s="29"/>
      <c r="D6" s="29"/>
      <c r="E6" s="29"/>
      <c r="F6" s="2"/>
      <c r="G6" s="57"/>
      <c r="H6" s="3" t="s">
        <v>147</v>
      </c>
    </row>
    <row r="7" spans="1:9" ht="12.75" customHeight="1">
      <c r="A7" s="29"/>
      <c r="B7" s="29"/>
      <c r="C7" s="29"/>
      <c r="D7" s="29"/>
      <c r="E7" s="2"/>
      <c r="F7" s="2"/>
      <c r="G7" s="57"/>
      <c r="H7" s="3" t="s">
        <v>148</v>
      </c>
    </row>
    <row r="8" spans="1:9" ht="12.75" customHeight="1">
      <c r="A8" s="29"/>
      <c r="B8" s="29"/>
      <c r="C8" s="29"/>
      <c r="D8" s="29"/>
      <c r="E8" s="2"/>
      <c r="F8" s="2"/>
      <c r="G8" s="57"/>
      <c r="H8" s="3" t="s">
        <v>31</v>
      </c>
    </row>
    <row r="9" spans="1:9" ht="12.75" customHeight="1">
      <c r="A9" s="29"/>
      <c r="B9" s="29"/>
      <c r="C9" s="29"/>
      <c r="D9" s="29"/>
      <c r="E9" s="2"/>
      <c r="F9" s="2"/>
      <c r="G9" s="57"/>
      <c r="H9" s="3" t="s">
        <v>301</v>
      </c>
    </row>
    <row r="10" spans="1:9" ht="12.75" customHeight="1">
      <c r="A10" s="29"/>
      <c r="B10" s="29"/>
      <c r="C10" s="29"/>
      <c r="D10" s="29"/>
      <c r="E10" s="2"/>
      <c r="F10" s="2"/>
      <c r="G10" s="99" t="s">
        <v>302</v>
      </c>
      <c r="H10" s="99"/>
      <c r="I10" s="57"/>
    </row>
    <row r="11" spans="1:9" ht="12.75" customHeight="1">
      <c r="A11" s="29"/>
      <c r="B11" s="29"/>
      <c r="C11" s="29"/>
      <c r="D11" s="29"/>
      <c r="E11" s="2"/>
      <c r="F11" s="2"/>
      <c r="G11" s="57"/>
      <c r="H11" s="3" t="s">
        <v>320</v>
      </c>
    </row>
    <row r="12" spans="1:9" ht="12.75" customHeight="1">
      <c r="A12" s="29"/>
      <c r="B12" s="29"/>
      <c r="C12" s="29"/>
      <c r="D12" s="29"/>
      <c r="E12" s="2"/>
      <c r="F12" s="2"/>
    </row>
    <row r="13" spans="1:9" ht="12.75" customHeight="1">
      <c r="A13" s="29"/>
      <c r="B13" s="29"/>
      <c r="C13" s="29"/>
      <c r="D13" s="29"/>
      <c r="E13" s="2"/>
      <c r="F13" s="2"/>
    </row>
    <row r="14" spans="1:9" ht="12.75" customHeight="1">
      <c r="A14" s="29"/>
      <c r="B14" s="29"/>
      <c r="C14" s="29"/>
      <c r="D14" s="29"/>
      <c r="E14" s="2"/>
      <c r="F14" s="2"/>
    </row>
    <row r="15" spans="1:9" ht="12.75" customHeight="1">
      <c r="A15" s="29"/>
      <c r="B15" s="29"/>
      <c r="C15" s="29"/>
      <c r="D15" s="29"/>
      <c r="E15" s="2"/>
      <c r="F15" s="2"/>
    </row>
    <row r="16" spans="1:9" ht="18.75" customHeight="1">
      <c r="A16" s="98" t="s">
        <v>303</v>
      </c>
      <c r="B16" s="98"/>
      <c r="C16" s="98"/>
      <c r="D16" s="98"/>
      <c r="E16" s="98"/>
      <c r="F16" s="98"/>
      <c r="G16" s="98"/>
      <c r="H16" s="98"/>
    </row>
    <row r="17" spans="1:8" ht="18.75" customHeight="1">
      <c r="A17" s="68"/>
      <c r="B17" s="68"/>
      <c r="C17" s="68"/>
      <c r="D17" s="68"/>
      <c r="E17" s="68"/>
      <c r="F17" s="68"/>
      <c r="G17" s="68"/>
      <c r="H17" s="68"/>
    </row>
    <row r="18" spans="1:8" ht="15.75">
      <c r="A18" s="30"/>
      <c r="B18" s="30"/>
      <c r="C18" s="30"/>
      <c r="D18" s="30"/>
      <c r="E18" s="30"/>
      <c r="F18" s="30"/>
      <c r="G18" s="31"/>
      <c r="H18" s="31" t="s">
        <v>56</v>
      </c>
    </row>
    <row r="19" spans="1:8" ht="12.75" customHeight="1">
      <c r="A19" s="96" t="s">
        <v>9</v>
      </c>
      <c r="B19" s="32"/>
      <c r="C19" s="32"/>
      <c r="D19" s="97" t="s">
        <v>47</v>
      </c>
      <c r="E19" s="97" t="s">
        <v>23</v>
      </c>
      <c r="F19" s="100"/>
      <c r="G19" s="101" t="s">
        <v>267</v>
      </c>
      <c r="H19" s="102"/>
    </row>
    <row r="20" spans="1:8" ht="25.5">
      <c r="A20" s="96"/>
      <c r="B20" s="32" t="s">
        <v>21</v>
      </c>
      <c r="C20" s="32" t="s">
        <v>22</v>
      </c>
      <c r="D20" s="97"/>
      <c r="E20" s="32" t="s">
        <v>19</v>
      </c>
      <c r="F20" s="32" t="s">
        <v>20</v>
      </c>
      <c r="G20" s="69">
        <v>2024</v>
      </c>
      <c r="H20" s="69">
        <v>2025</v>
      </c>
    </row>
    <row r="21" spans="1:8" ht="25.5">
      <c r="A21" s="61" t="s">
        <v>381</v>
      </c>
      <c r="B21" s="62" t="s">
        <v>164</v>
      </c>
      <c r="C21" s="62"/>
      <c r="D21" s="62"/>
      <c r="E21" s="62"/>
      <c r="F21" s="62"/>
      <c r="G21" s="63">
        <f>G22+G25+G28</f>
        <v>566</v>
      </c>
      <c r="H21" s="63">
        <f>H22+H25+H28</f>
        <v>566</v>
      </c>
    </row>
    <row r="22" spans="1:8" ht="38.25">
      <c r="A22" s="16" t="s">
        <v>264</v>
      </c>
      <c r="B22" s="4" t="s">
        <v>265</v>
      </c>
      <c r="C22" s="4"/>
      <c r="D22" s="4" t="s">
        <v>59</v>
      </c>
      <c r="E22" s="4" t="s">
        <v>10</v>
      </c>
      <c r="F22" s="4" t="s">
        <v>32</v>
      </c>
      <c r="G22" s="5">
        <f>G23</f>
        <v>100</v>
      </c>
      <c r="H22" s="5">
        <f>H23</f>
        <v>100</v>
      </c>
    </row>
    <row r="23" spans="1:8" s="25" customFormat="1" ht="25.5">
      <c r="A23" s="12" t="s">
        <v>66</v>
      </c>
      <c r="B23" s="4" t="s">
        <v>266</v>
      </c>
      <c r="C23" s="7"/>
      <c r="D23" s="4">
        <v>968</v>
      </c>
      <c r="E23" s="4" t="s">
        <v>10</v>
      </c>
      <c r="F23" s="4" t="s">
        <v>32</v>
      </c>
      <c r="G23" s="5">
        <f>G24</f>
        <v>100</v>
      </c>
      <c r="H23" s="5">
        <f>H24</f>
        <v>100</v>
      </c>
    </row>
    <row r="24" spans="1:8" ht="25.5">
      <c r="A24" s="11" t="s">
        <v>55</v>
      </c>
      <c r="B24" s="6" t="s">
        <v>266</v>
      </c>
      <c r="C24" s="6" t="s">
        <v>36</v>
      </c>
      <c r="D24" s="6" t="s">
        <v>59</v>
      </c>
      <c r="E24" s="6" t="s">
        <v>10</v>
      </c>
      <c r="F24" s="6" t="s">
        <v>32</v>
      </c>
      <c r="G24" s="15">
        <v>100</v>
      </c>
      <c r="H24" s="15">
        <v>100</v>
      </c>
    </row>
    <row r="25" spans="1:8" ht="25.5">
      <c r="A25" s="16" t="s">
        <v>205</v>
      </c>
      <c r="B25" s="4" t="s">
        <v>206</v>
      </c>
      <c r="C25" s="4"/>
      <c r="D25" s="4" t="s">
        <v>59</v>
      </c>
      <c r="E25" s="4" t="s">
        <v>10</v>
      </c>
      <c r="F25" s="4" t="s">
        <v>32</v>
      </c>
      <c r="G25" s="5">
        <f>G26</f>
        <v>416</v>
      </c>
      <c r="H25" s="5">
        <f>H26</f>
        <v>416</v>
      </c>
    </row>
    <row r="26" spans="1:8" s="25" customFormat="1" ht="38.25">
      <c r="A26" s="17" t="s">
        <v>165</v>
      </c>
      <c r="B26" s="4" t="s">
        <v>256</v>
      </c>
      <c r="C26" s="4"/>
      <c r="D26" s="4" t="s">
        <v>59</v>
      </c>
      <c r="E26" s="4" t="s">
        <v>10</v>
      </c>
      <c r="F26" s="4" t="s">
        <v>32</v>
      </c>
      <c r="G26" s="5">
        <f>G27</f>
        <v>416</v>
      </c>
      <c r="H26" s="5">
        <f>H27</f>
        <v>416</v>
      </c>
    </row>
    <row r="27" spans="1:8" ht="25.5">
      <c r="A27" s="11" t="s">
        <v>55</v>
      </c>
      <c r="B27" s="6" t="s">
        <v>256</v>
      </c>
      <c r="C27" s="6" t="s">
        <v>36</v>
      </c>
      <c r="D27" s="6" t="s">
        <v>59</v>
      </c>
      <c r="E27" s="6" t="s">
        <v>10</v>
      </c>
      <c r="F27" s="6" t="s">
        <v>32</v>
      </c>
      <c r="G27" s="72">
        <f>208+208</f>
        <v>416</v>
      </c>
      <c r="H27" s="72">
        <f>208+208</f>
        <v>416</v>
      </c>
    </row>
    <row r="28" spans="1:8" s="26" customFormat="1" ht="38.25">
      <c r="A28" s="48" t="s">
        <v>239</v>
      </c>
      <c r="B28" s="4" t="s">
        <v>240</v>
      </c>
      <c r="C28" s="4"/>
      <c r="D28" s="4" t="s">
        <v>59</v>
      </c>
      <c r="E28" s="4" t="s">
        <v>10</v>
      </c>
      <c r="F28" s="4" t="s">
        <v>32</v>
      </c>
      <c r="G28" s="5">
        <f>G30</f>
        <v>50</v>
      </c>
      <c r="H28" s="5">
        <f>H30</f>
        <v>50</v>
      </c>
    </row>
    <row r="29" spans="1:8" s="26" customFormat="1" ht="25.5">
      <c r="A29" s="12" t="s">
        <v>66</v>
      </c>
      <c r="B29" s="4" t="s">
        <v>241</v>
      </c>
      <c r="C29" s="7"/>
      <c r="D29" s="4" t="s">
        <v>59</v>
      </c>
      <c r="E29" s="4" t="s">
        <v>10</v>
      </c>
      <c r="F29" s="4" t="s">
        <v>32</v>
      </c>
      <c r="G29" s="5">
        <f>G30</f>
        <v>50</v>
      </c>
      <c r="H29" s="5">
        <f>H30</f>
        <v>50</v>
      </c>
    </row>
    <row r="30" spans="1:8" s="26" customFormat="1" ht="25.5">
      <c r="A30" s="11" t="s">
        <v>55</v>
      </c>
      <c r="B30" s="6" t="s">
        <v>241</v>
      </c>
      <c r="C30" s="6" t="s">
        <v>36</v>
      </c>
      <c r="D30" s="6" t="s">
        <v>59</v>
      </c>
      <c r="E30" s="6" t="s">
        <v>10</v>
      </c>
      <c r="F30" s="6" t="s">
        <v>32</v>
      </c>
      <c r="G30" s="15">
        <v>50</v>
      </c>
      <c r="H30" s="15">
        <v>50</v>
      </c>
    </row>
    <row r="31" spans="1:8" s="26" customFormat="1" ht="25.5">
      <c r="A31" s="64" t="s">
        <v>382</v>
      </c>
      <c r="B31" s="62" t="s">
        <v>72</v>
      </c>
      <c r="C31" s="62"/>
      <c r="D31" s="62"/>
      <c r="E31" s="62"/>
      <c r="F31" s="62"/>
      <c r="G31" s="63">
        <f>G32+G37</f>
        <v>24345.9</v>
      </c>
      <c r="H31" s="63">
        <f>H32+H37</f>
        <v>24631.1</v>
      </c>
    </row>
    <row r="32" spans="1:8" s="26" customFormat="1" ht="27">
      <c r="A32" s="47" t="s">
        <v>225</v>
      </c>
      <c r="B32" s="7" t="s">
        <v>73</v>
      </c>
      <c r="C32" s="7"/>
      <c r="D32" s="7">
        <v>970</v>
      </c>
      <c r="E32" s="7" t="s">
        <v>10</v>
      </c>
      <c r="F32" s="7" t="s">
        <v>17</v>
      </c>
      <c r="G32" s="28">
        <f>G33</f>
        <v>8542.2000000000007</v>
      </c>
      <c r="H32" s="28">
        <f>H33</f>
        <v>8542.2000000000007</v>
      </c>
    </row>
    <row r="33" spans="1:8" s="26" customFormat="1" ht="25.5">
      <c r="A33" s="21" t="s">
        <v>75</v>
      </c>
      <c r="B33" s="4" t="s">
        <v>74</v>
      </c>
      <c r="C33" s="4"/>
      <c r="D33" s="4">
        <v>970</v>
      </c>
      <c r="E33" s="4" t="s">
        <v>10</v>
      </c>
      <c r="F33" s="4" t="s">
        <v>17</v>
      </c>
      <c r="G33" s="5">
        <f>G34</f>
        <v>8542.2000000000007</v>
      </c>
      <c r="H33" s="5">
        <f>H34</f>
        <v>8542.2000000000007</v>
      </c>
    </row>
    <row r="34" spans="1:8" s="26" customFormat="1" ht="25.5">
      <c r="A34" s="19" t="s">
        <v>50</v>
      </c>
      <c r="B34" s="4" t="s">
        <v>71</v>
      </c>
      <c r="C34" s="7"/>
      <c r="D34" s="4">
        <v>970</v>
      </c>
      <c r="E34" s="4" t="s">
        <v>10</v>
      </c>
      <c r="F34" s="4" t="s">
        <v>17</v>
      </c>
      <c r="G34" s="5">
        <f>SUM(G35:G36)</f>
        <v>8542.2000000000007</v>
      </c>
      <c r="H34" s="5">
        <f>SUM(H35:H36)</f>
        <v>8542.2000000000007</v>
      </c>
    </row>
    <row r="35" spans="1:8" s="26" customFormat="1" ht="25.5">
      <c r="A35" s="10" t="s">
        <v>76</v>
      </c>
      <c r="B35" s="6" t="s">
        <v>71</v>
      </c>
      <c r="C35" s="6" t="s">
        <v>34</v>
      </c>
      <c r="D35" s="6">
        <v>970</v>
      </c>
      <c r="E35" s="6" t="s">
        <v>10</v>
      </c>
      <c r="F35" s="6" t="s">
        <v>17</v>
      </c>
      <c r="G35" s="15">
        <v>6560.8</v>
      </c>
      <c r="H35" s="15">
        <v>6560.8</v>
      </c>
    </row>
    <row r="36" spans="1:8" s="26" customFormat="1" ht="38.25">
      <c r="A36" s="10" t="s">
        <v>77</v>
      </c>
      <c r="B36" s="6" t="s">
        <v>71</v>
      </c>
      <c r="C36" s="6" t="s">
        <v>70</v>
      </c>
      <c r="D36" s="6">
        <v>970</v>
      </c>
      <c r="E36" s="6" t="s">
        <v>10</v>
      </c>
      <c r="F36" s="6" t="s">
        <v>17</v>
      </c>
      <c r="G36" s="15">
        <v>1981.4</v>
      </c>
      <c r="H36" s="15">
        <v>1981.4</v>
      </c>
    </row>
    <row r="37" spans="1:8" s="26" customFormat="1" ht="27">
      <c r="A37" s="22" t="s">
        <v>217</v>
      </c>
      <c r="B37" s="7" t="s">
        <v>78</v>
      </c>
      <c r="C37" s="7"/>
      <c r="D37" s="7">
        <v>970</v>
      </c>
      <c r="E37" s="7" t="s">
        <v>29</v>
      </c>
      <c r="F37" s="7" t="s">
        <v>10</v>
      </c>
      <c r="G37" s="28">
        <f>G38</f>
        <v>15803.699999999999</v>
      </c>
      <c r="H37" s="28">
        <f>H38</f>
        <v>16088.9</v>
      </c>
    </row>
    <row r="38" spans="1:8" s="26" customFormat="1" ht="25.5">
      <c r="A38" s="12" t="s">
        <v>79</v>
      </c>
      <c r="B38" s="4" t="s">
        <v>80</v>
      </c>
      <c r="C38" s="4"/>
      <c r="D38" s="4">
        <v>970</v>
      </c>
      <c r="E38" s="4" t="s">
        <v>29</v>
      </c>
      <c r="F38" s="4" t="s">
        <v>10</v>
      </c>
      <c r="G38" s="5">
        <f>G39+G41</f>
        <v>15803.699999999999</v>
      </c>
      <c r="H38" s="5">
        <f>H39+H41</f>
        <v>16088.9</v>
      </c>
    </row>
    <row r="39" spans="1:8" s="26" customFormat="1" ht="25.5">
      <c r="A39" s="12" t="s">
        <v>30</v>
      </c>
      <c r="B39" s="4" t="s">
        <v>82</v>
      </c>
      <c r="C39" s="4"/>
      <c r="D39" s="4">
        <v>970</v>
      </c>
      <c r="E39" s="4" t="s">
        <v>29</v>
      </c>
      <c r="F39" s="4" t="s">
        <v>10</v>
      </c>
      <c r="G39" s="5">
        <f>SUM(G40)</f>
        <v>15693.3</v>
      </c>
      <c r="H39" s="5">
        <f>SUM(H40)</f>
        <v>15974.1</v>
      </c>
    </row>
    <row r="40" spans="1:8" s="26" customFormat="1">
      <c r="A40" s="14" t="s">
        <v>54</v>
      </c>
      <c r="B40" s="6" t="s">
        <v>82</v>
      </c>
      <c r="C40" s="6" t="s">
        <v>46</v>
      </c>
      <c r="D40" s="6">
        <v>970</v>
      </c>
      <c r="E40" s="6" t="s">
        <v>29</v>
      </c>
      <c r="F40" s="6" t="s">
        <v>10</v>
      </c>
      <c r="G40" s="72">
        <f>15693.3</f>
        <v>15693.3</v>
      </c>
      <c r="H40" s="72">
        <v>15974.1</v>
      </c>
    </row>
    <row r="41" spans="1:8" s="26" customFormat="1" ht="25.5">
      <c r="A41" s="19" t="s">
        <v>53</v>
      </c>
      <c r="B41" s="4" t="s">
        <v>81</v>
      </c>
      <c r="C41" s="4"/>
      <c r="D41" s="4">
        <v>970</v>
      </c>
      <c r="E41" s="4" t="s">
        <v>29</v>
      </c>
      <c r="F41" s="4" t="s">
        <v>10</v>
      </c>
      <c r="G41" s="5">
        <f>SUM(G42)</f>
        <v>110.4</v>
      </c>
      <c r="H41" s="5">
        <f>SUM(H42)</f>
        <v>114.8</v>
      </c>
    </row>
    <row r="42" spans="1:8" s="26" customFormat="1">
      <c r="A42" s="14" t="s">
        <v>54</v>
      </c>
      <c r="B42" s="6" t="s">
        <v>81</v>
      </c>
      <c r="C42" s="6" t="s">
        <v>46</v>
      </c>
      <c r="D42" s="6">
        <v>970</v>
      </c>
      <c r="E42" s="6" t="s">
        <v>29</v>
      </c>
      <c r="F42" s="6" t="s">
        <v>10</v>
      </c>
      <c r="G42" s="72">
        <v>110.4</v>
      </c>
      <c r="H42" s="72">
        <v>114.8</v>
      </c>
    </row>
    <row r="43" spans="1:8" s="26" customFormat="1" ht="38.25">
      <c r="A43" s="61" t="s">
        <v>383</v>
      </c>
      <c r="B43" s="62" t="s">
        <v>173</v>
      </c>
      <c r="C43" s="62"/>
      <c r="D43" s="62"/>
      <c r="E43" s="62"/>
      <c r="F43" s="62"/>
      <c r="G43" s="63">
        <f>G44</f>
        <v>300</v>
      </c>
      <c r="H43" s="63">
        <f t="shared" ref="G43:H45" si="0">H44</f>
        <v>300</v>
      </c>
    </row>
    <row r="44" spans="1:8" s="26" customFormat="1" ht="38.25">
      <c r="A44" s="17" t="s">
        <v>166</v>
      </c>
      <c r="B44" s="4" t="s">
        <v>174</v>
      </c>
      <c r="C44" s="4"/>
      <c r="D44" s="4">
        <v>968</v>
      </c>
      <c r="E44" s="4" t="s">
        <v>10</v>
      </c>
      <c r="F44" s="4" t="s">
        <v>32</v>
      </c>
      <c r="G44" s="5">
        <f t="shared" si="0"/>
        <v>300</v>
      </c>
      <c r="H44" s="5">
        <f t="shared" si="0"/>
        <v>300</v>
      </c>
    </row>
    <row r="45" spans="1:8" s="26" customFormat="1" ht="25.5">
      <c r="A45" s="12" t="s">
        <v>66</v>
      </c>
      <c r="B45" s="4" t="s">
        <v>175</v>
      </c>
      <c r="C45" s="4"/>
      <c r="D45" s="4">
        <v>968</v>
      </c>
      <c r="E45" s="4" t="s">
        <v>10</v>
      </c>
      <c r="F45" s="4" t="s">
        <v>32</v>
      </c>
      <c r="G45" s="5">
        <f t="shared" si="0"/>
        <v>300</v>
      </c>
      <c r="H45" s="5">
        <f t="shared" si="0"/>
        <v>300</v>
      </c>
    </row>
    <row r="46" spans="1:8" s="26" customFormat="1" ht="25.5">
      <c r="A46" s="11" t="s">
        <v>55</v>
      </c>
      <c r="B46" s="6" t="s">
        <v>175</v>
      </c>
      <c r="C46" s="6" t="s">
        <v>36</v>
      </c>
      <c r="D46" s="6">
        <v>968</v>
      </c>
      <c r="E46" s="6" t="s">
        <v>10</v>
      </c>
      <c r="F46" s="6" t="s">
        <v>32</v>
      </c>
      <c r="G46" s="15">
        <v>300</v>
      </c>
      <c r="H46" s="15">
        <v>300</v>
      </c>
    </row>
    <row r="47" spans="1:8" s="26" customFormat="1" ht="51">
      <c r="A47" s="64" t="s">
        <v>384</v>
      </c>
      <c r="B47" s="62" t="s">
        <v>85</v>
      </c>
      <c r="C47" s="62"/>
      <c r="D47" s="62"/>
      <c r="E47" s="62"/>
      <c r="F47" s="62"/>
      <c r="G47" s="63">
        <f>G48+G60</f>
        <v>264568.98000000004</v>
      </c>
      <c r="H47" s="63">
        <f>H48+H60</f>
        <v>267847.12453000003</v>
      </c>
    </row>
    <row r="48" spans="1:8" s="26" customFormat="1" ht="40.5">
      <c r="A48" s="47" t="s">
        <v>226</v>
      </c>
      <c r="B48" s="7" t="s">
        <v>86</v>
      </c>
      <c r="C48" s="7"/>
      <c r="D48" s="7" t="s">
        <v>67</v>
      </c>
      <c r="E48" s="7" t="s">
        <v>10</v>
      </c>
      <c r="F48" s="7" t="s">
        <v>32</v>
      </c>
      <c r="G48" s="28">
        <f>G49+G53</f>
        <v>8215.59</v>
      </c>
      <c r="H48" s="28">
        <f>H49+H53</f>
        <v>8626.0255300000008</v>
      </c>
    </row>
    <row r="49" spans="1:8" s="26" customFormat="1" ht="38.25">
      <c r="A49" s="21" t="s">
        <v>184</v>
      </c>
      <c r="B49" s="4" t="s">
        <v>261</v>
      </c>
      <c r="C49" s="4"/>
      <c r="D49" s="4" t="s">
        <v>67</v>
      </c>
      <c r="E49" s="4" t="s">
        <v>10</v>
      </c>
      <c r="F49" s="4" t="s">
        <v>32</v>
      </c>
      <c r="G49" s="5">
        <f>G50</f>
        <v>7715.59</v>
      </c>
      <c r="H49" s="5">
        <f>H50</f>
        <v>7446.9000000000005</v>
      </c>
    </row>
    <row r="50" spans="1:8" s="26" customFormat="1" ht="25.5">
      <c r="A50" s="19" t="s">
        <v>50</v>
      </c>
      <c r="B50" s="4" t="s">
        <v>145</v>
      </c>
      <c r="C50" s="7"/>
      <c r="D50" s="4" t="s">
        <v>67</v>
      </c>
      <c r="E50" s="4" t="s">
        <v>10</v>
      </c>
      <c r="F50" s="4" t="s">
        <v>32</v>
      </c>
      <c r="G50" s="5">
        <f>SUM(G51:G52)</f>
        <v>7715.59</v>
      </c>
      <c r="H50" s="5">
        <f>SUM(H51:H52)</f>
        <v>7446.9000000000005</v>
      </c>
    </row>
    <row r="51" spans="1:8" s="26" customFormat="1" ht="25.5">
      <c r="A51" s="10" t="s">
        <v>76</v>
      </c>
      <c r="B51" s="6" t="s">
        <v>145</v>
      </c>
      <c r="C51" s="6" t="s">
        <v>34</v>
      </c>
      <c r="D51" s="6" t="s">
        <v>67</v>
      </c>
      <c r="E51" s="6" t="s">
        <v>10</v>
      </c>
      <c r="F51" s="6" t="s">
        <v>32</v>
      </c>
      <c r="G51" s="15">
        <f>5718.62+269.67</f>
        <v>5988.29</v>
      </c>
      <c r="H51" s="15">
        <v>5719.6</v>
      </c>
    </row>
    <row r="52" spans="1:8" s="26" customFormat="1" ht="38.25">
      <c r="A52" s="10" t="s">
        <v>77</v>
      </c>
      <c r="B52" s="6" t="s">
        <v>145</v>
      </c>
      <c r="C52" s="6" t="s">
        <v>70</v>
      </c>
      <c r="D52" s="6" t="s">
        <v>67</v>
      </c>
      <c r="E52" s="6" t="s">
        <v>10</v>
      </c>
      <c r="F52" s="6" t="s">
        <v>32</v>
      </c>
      <c r="G52" s="15">
        <v>1727.3</v>
      </c>
      <c r="H52" s="15">
        <v>1727.3</v>
      </c>
    </row>
    <row r="53" spans="1:8" s="26" customFormat="1" ht="38.25">
      <c r="A53" s="21" t="s">
        <v>185</v>
      </c>
      <c r="B53" s="4" t="s">
        <v>258</v>
      </c>
      <c r="C53" s="4"/>
      <c r="D53" s="4">
        <v>971</v>
      </c>
      <c r="E53" s="4" t="s">
        <v>10</v>
      </c>
      <c r="F53" s="4" t="s">
        <v>32</v>
      </c>
      <c r="G53" s="5">
        <f>G54+G56+G58</f>
        <v>500</v>
      </c>
      <c r="H53" s="5">
        <f>H54+H56+H58</f>
        <v>1179.1255299999998</v>
      </c>
    </row>
    <row r="54" spans="1:8" s="26" customFormat="1" ht="38.25">
      <c r="A54" s="12" t="s">
        <v>88</v>
      </c>
      <c r="B54" s="4" t="s">
        <v>146</v>
      </c>
      <c r="C54" s="4"/>
      <c r="D54" s="4">
        <v>971</v>
      </c>
      <c r="E54" s="4" t="s">
        <v>10</v>
      </c>
      <c r="F54" s="4" t="s">
        <v>32</v>
      </c>
      <c r="G54" s="5">
        <f>SUM(G55:G55)</f>
        <v>350</v>
      </c>
      <c r="H54" s="5">
        <f>SUM(H55:H55)</f>
        <v>350</v>
      </c>
    </row>
    <row r="55" spans="1:8" s="26" customFormat="1" ht="25.5">
      <c r="A55" s="10" t="s">
        <v>35</v>
      </c>
      <c r="B55" s="6" t="s">
        <v>146</v>
      </c>
      <c r="C55" s="6" t="s">
        <v>36</v>
      </c>
      <c r="D55" s="6">
        <v>971</v>
      </c>
      <c r="E55" s="6" t="s">
        <v>10</v>
      </c>
      <c r="F55" s="6" t="s">
        <v>32</v>
      </c>
      <c r="G55" s="15">
        <v>350</v>
      </c>
      <c r="H55" s="15">
        <v>350</v>
      </c>
    </row>
    <row r="56" spans="1:8" s="26" customFormat="1" ht="51">
      <c r="A56" s="13" t="s">
        <v>293</v>
      </c>
      <c r="B56" s="4" t="s">
        <v>318</v>
      </c>
      <c r="C56" s="4"/>
      <c r="D56" s="4" t="s">
        <v>67</v>
      </c>
      <c r="E56" s="4" t="s">
        <v>12</v>
      </c>
      <c r="F56" s="4" t="s">
        <v>28</v>
      </c>
      <c r="G56" s="5">
        <f>G57</f>
        <v>0</v>
      </c>
      <c r="H56" s="5">
        <f>H57</f>
        <v>679.12552999999991</v>
      </c>
    </row>
    <row r="57" spans="1:8" s="26" customFormat="1" ht="25.5">
      <c r="A57" s="10" t="s">
        <v>35</v>
      </c>
      <c r="B57" s="6" t="s">
        <v>318</v>
      </c>
      <c r="C57" s="80" t="s">
        <v>36</v>
      </c>
      <c r="D57" s="6" t="s">
        <v>67</v>
      </c>
      <c r="E57" s="6" t="s">
        <v>12</v>
      </c>
      <c r="F57" s="6" t="s">
        <v>28</v>
      </c>
      <c r="G57" s="72">
        <v>0</v>
      </c>
      <c r="H57" s="72">
        <f>608+38.8+0.02553+32.3</f>
        <v>679.12552999999991</v>
      </c>
    </row>
    <row r="58" spans="1:8" s="26" customFormat="1" ht="51">
      <c r="A58" s="13" t="s">
        <v>181</v>
      </c>
      <c r="B58" s="4" t="s">
        <v>319</v>
      </c>
      <c r="C58" s="4"/>
      <c r="D58" s="4" t="s">
        <v>67</v>
      </c>
      <c r="E58" s="4" t="s">
        <v>12</v>
      </c>
      <c r="F58" s="4" t="s">
        <v>28</v>
      </c>
      <c r="G58" s="5">
        <f t="shared" ref="G58:H58" si="1">G59</f>
        <v>150</v>
      </c>
      <c r="H58" s="5">
        <f t="shared" si="1"/>
        <v>150</v>
      </c>
    </row>
    <row r="59" spans="1:8" s="26" customFormat="1" ht="25.5">
      <c r="A59" s="10" t="s">
        <v>35</v>
      </c>
      <c r="B59" s="6" t="s">
        <v>319</v>
      </c>
      <c r="C59" s="6" t="s">
        <v>36</v>
      </c>
      <c r="D59" s="6" t="s">
        <v>67</v>
      </c>
      <c r="E59" s="6" t="s">
        <v>12</v>
      </c>
      <c r="F59" s="6" t="s">
        <v>28</v>
      </c>
      <c r="G59" s="72">
        <f>120+30</f>
        <v>150</v>
      </c>
      <c r="H59" s="72">
        <f>120+30</f>
        <v>150</v>
      </c>
    </row>
    <row r="60" spans="1:8" s="49" customFormat="1" ht="27">
      <c r="A60" s="47" t="s">
        <v>340</v>
      </c>
      <c r="B60" s="7" t="s">
        <v>339</v>
      </c>
      <c r="C60" s="7"/>
      <c r="D60" s="7" t="s">
        <v>67</v>
      </c>
      <c r="E60" s="7" t="s">
        <v>12</v>
      </c>
      <c r="F60" s="7" t="s">
        <v>15</v>
      </c>
      <c r="G60" s="74">
        <f>G61</f>
        <v>256353.39</v>
      </c>
      <c r="H60" s="74">
        <f>H61</f>
        <v>259221.09900000002</v>
      </c>
    </row>
    <row r="61" spans="1:8" s="25" customFormat="1" ht="25.5">
      <c r="A61" s="12" t="s">
        <v>341</v>
      </c>
      <c r="B61" s="4" t="s">
        <v>343</v>
      </c>
      <c r="C61" s="4"/>
      <c r="D61" s="4" t="s">
        <v>67</v>
      </c>
      <c r="E61" s="4" t="s">
        <v>12</v>
      </c>
      <c r="F61" s="4" t="s">
        <v>15</v>
      </c>
      <c r="G61" s="5">
        <f>G62+G65+G67+G71</f>
        <v>256353.39</v>
      </c>
      <c r="H61" s="5">
        <f>H62+H65+H67+H71</f>
        <v>259221.09900000002</v>
      </c>
    </row>
    <row r="62" spans="1:8" s="25" customFormat="1" ht="25.5">
      <c r="A62" s="12" t="s">
        <v>342</v>
      </c>
      <c r="B62" s="4" t="s">
        <v>344</v>
      </c>
      <c r="C62" s="4"/>
      <c r="D62" s="50" t="s">
        <v>67</v>
      </c>
      <c r="E62" s="82" t="s">
        <v>12</v>
      </c>
      <c r="F62" s="82" t="s">
        <v>15</v>
      </c>
      <c r="G62" s="73">
        <f>SUM(G63:G64)</f>
        <v>15698.41</v>
      </c>
      <c r="H62" s="73">
        <f>SUM(H63:H64)</f>
        <v>16729.57</v>
      </c>
    </row>
    <row r="63" spans="1:8" s="25" customFormat="1" ht="25.5">
      <c r="A63" s="10" t="s">
        <v>35</v>
      </c>
      <c r="B63" s="6" t="s">
        <v>344</v>
      </c>
      <c r="C63" s="6" t="s">
        <v>36</v>
      </c>
      <c r="D63" s="51" t="s">
        <v>67</v>
      </c>
      <c r="E63" s="80" t="s">
        <v>12</v>
      </c>
      <c r="F63" s="80" t="s">
        <v>15</v>
      </c>
      <c r="G63" s="72">
        <v>3685.0059999999999</v>
      </c>
      <c r="H63" s="72">
        <v>4134.22</v>
      </c>
    </row>
    <row r="64" spans="1:8" s="25" customFormat="1">
      <c r="A64" s="18" t="s">
        <v>335</v>
      </c>
      <c r="B64" s="6" t="s">
        <v>344</v>
      </c>
      <c r="C64" s="6" t="s">
        <v>336</v>
      </c>
      <c r="D64" s="50" t="s">
        <v>67</v>
      </c>
      <c r="E64" s="50" t="s">
        <v>12</v>
      </c>
      <c r="F64" s="50" t="s">
        <v>15</v>
      </c>
      <c r="G64" s="5">
        <v>12013.404</v>
      </c>
      <c r="H64" s="55">
        <v>12595.35</v>
      </c>
    </row>
    <row r="65" spans="1:8" s="25" customFormat="1" ht="25.5">
      <c r="A65" s="17" t="s">
        <v>305</v>
      </c>
      <c r="B65" s="82" t="s">
        <v>345</v>
      </c>
      <c r="C65" s="82"/>
      <c r="D65" s="50" t="s">
        <v>67</v>
      </c>
      <c r="E65" s="82" t="s">
        <v>12</v>
      </c>
      <c r="F65" s="82" t="s">
        <v>15</v>
      </c>
      <c r="G65" s="73">
        <f>G66</f>
        <v>138906.1</v>
      </c>
      <c r="H65" s="73">
        <f>H66</f>
        <v>0</v>
      </c>
    </row>
    <row r="66" spans="1:8" s="25" customFormat="1" ht="25.5">
      <c r="A66" s="10" t="s">
        <v>35</v>
      </c>
      <c r="B66" s="80" t="s">
        <v>345</v>
      </c>
      <c r="C66" s="80" t="s">
        <v>36</v>
      </c>
      <c r="D66" s="51" t="s">
        <v>67</v>
      </c>
      <c r="E66" s="80" t="s">
        <v>12</v>
      </c>
      <c r="F66" s="80" t="s">
        <v>15</v>
      </c>
      <c r="G66" s="72">
        <f>138906.1</f>
        <v>138906.1</v>
      </c>
      <c r="H66" s="72">
        <v>0</v>
      </c>
    </row>
    <row r="67" spans="1:8" s="49" customFormat="1" ht="25.5">
      <c r="A67" s="56" t="s">
        <v>291</v>
      </c>
      <c r="B67" s="50" t="s">
        <v>346</v>
      </c>
      <c r="C67" s="82"/>
      <c r="D67" s="50" t="s">
        <v>67</v>
      </c>
      <c r="E67" s="50" t="s">
        <v>12</v>
      </c>
      <c r="F67" s="50" t="s">
        <v>15</v>
      </c>
      <c r="G67" s="5">
        <f>SUM(G68:G70)</f>
        <v>101748.88</v>
      </c>
      <c r="H67" s="5">
        <f>SUM(H68:H70)</f>
        <v>142491.52900000001</v>
      </c>
    </row>
    <row r="68" spans="1:8" s="25" customFormat="1">
      <c r="A68" s="18" t="s">
        <v>335</v>
      </c>
      <c r="B68" s="51" t="s">
        <v>346</v>
      </c>
      <c r="C68" s="80" t="s">
        <v>336</v>
      </c>
      <c r="D68" s="51" t="s">
        <v>67</v>
      </c>
      <c r="E68" s="51" t="s">
        <v>12</v>
      </c>
      <c r="F68" s="51" t="s">
        <v>15</v>
      </c>
      <c r="G68" s="72">
        <v>728.47</v>
      </c>
      <c r="H68" s="72">
        <v>728.47</v>
      </c>
    </row>
    <row r="69" spans="1:8" s="25" customFormat="1">
      <c r="A69" s="18" t="s">
        <v>335</v>
      </c>
      <c r="B69" s="51" t="s">
        <v>346</v>
      </c>
      <c r="C69" s="80" t="s">
        <v>336</v>
      </c>
      <c r="D69" s="51" t="s">
        <v>59</v>
      </c>
      <c r="E69" s="51" t="s">
        <v>12</v>
      </c>
      <c r="F69" s="51" t="s">
        <v>15</v>
      </c>
      <c r="G69" s="73">
        <v>50000</v>
      </c>
      <c r="H69" s="73">
        <v>0</v>
      </c>
    </row>
    <row r="70" spans="1:8" s="25" customFormat="1">
      <c r="A70" s="18" t="s">
        <v>337</v>
      </c>
      <c r="B70" s="51" t="s">
        <v>346</v>
      </c>
      <c r="C70" s="6" t="s">
        <v>49</v>
      </c>
      <c r="D70" s="51" t="s">
        <v>59</v>
      </c>
      <c r="E70" s="51" t="s">
        <v>12</v>
      </c>
      <c r="F70" s="51" t="s">
        <v>15</v>
      </c>
      <c r="G70" s="72">
        <v>51020.41</v>
      </c>
      <c r="H70" s="72">
        <v>141763.05900000001</v>
      </c>
    </row>
    <row r="71" spans="1:8" s="25" customFormat="1" ht="63.75">
      <c r="A71" s="12" t="s">
        <v>292</v>
      </c>
      <c r="B71" s="4" t="s">
        <v>347</v>
      </c>
      <c r="C71" s="82"/>
      <c r="D71" s="4" t="s">
        <v>67</v>
      </c>
      <c r="E71" s="4" t="s">
        <v>12</v>
      </c>
      <c r="F71" s="4" t="s">
        <v>15</v>
      </c>
      <c r="G71" s="5">
        <f>G72</f>
        <v>0</v>
      </c>
      <c r="H71" s="5">
        <f>H72</f>
        <v>100000</v>
      </c>
    </row>
    <row r="72" spans="1:8" s="25" customFormat="1" ht="25.5">
      <c r="A72" s="10" t="s">
        <v>35</v>
      </c>
      <c r="B72" s="6" t="s">
        <v>347</v>
      </c>
      <c r="C72" s="80" t="s">
        <v>36</v>
      </c>
      <c r="D72" s="6" t="s">
        <v>67</v>
      </c>
      <c r="E72" s="6" t="s">
        <v>12</v>
      </c>
      <c r="F72" s="6" t="s">
        <v>15</v>
      </c>
      <c r="G72" s="72">
        <v>0</v>
      </c>
      <c r="H72" s="72">
        <v>100000</v>
      </c>
    </row>
    <row r="73" spans="1:8" s="26" customFormat="1" ht="38.25">
      <c r="A73" s="61" t="s">
        <v>385</v>
      </c>
      <c r="B73" s="62" t="s">
        <v>87</v>
      </c>
      <c r="C73" s="62"/>
      <c r="D73" s="62" t="s">
        <v>60</v>
      </c>
      <c r="E73" s="62" t="s">
        <v>10</v>
      </c>
      <c r="F73" s="62" t="s">
        <v>32</v>
      </c>
      <c r="G73" s="63">
        <f t="shared" ref="G73:H75" si="2">G74</f>
        <v>135</v>
      </c>
      <c r="H73" s="63">
        <f t="shared" si="2"/>
        <v>135</v>
      </c>
    </row>
    <row r="74" spans="1:8" s="26" customFormat="1" ht="38.25">
      <c r="A74" s="17" t="s">
        <v>257</v>
      </c>
      <c r="B74" s="4" t="s">
        <v>176</v>
      </c>
      <c r="C74" s="4"/>
      <c r="D74" s="4">
        <v>968</v>
      </c>
      <c r="E74" s="4" t="s">
        <v>10</v>
      </c>
      <c r="F74" s="4" t="s">
        <v>32</v>
      </c>
      <c r="G74" s="5">
        <f t="shared" si="2"/>
        <v>135</v>
      </c>
      <c r="H74" s="5">
        <f t="shared" si="2"/>
        <v>135</v>
      </c>
    </row>
    <row r="75" spans="1:8" s="26" customFormat="1" ht="25.5">
      <c r="A75" s="12" t="s">
        <v>66</v>
      </c>
      <c r="B75" s="4" t="s">
        <v>177</v>
      </c>
      <c r="C75" s="7"/>
      <c r="D75" s="4">
        <v>968</v>
      </c>
      <c r="E75" s="4" t="s">
        <v>10</v>
      </c>
      <c r="F75" s="4" t="s">
        <v>32</v>
      </c>
      <c r="G75" s="5">
        <f t="shared" si="2"/>
        <v>135</v>
      </c>
      <c r="H75" s="5">
        <f t="shared" si="2"/>
        <v>135</v>
      </c>
    </row>
    <row r="76" spans="1:8" s="26" customFormat="1" ht="25.5">
      <c r="A76" s="14" t="s">
        <v>66</v>
      </c>
      <c r="B76" s="6" t="s">
        <v>177</v>
      </c>
      <c r="C76" s="6" t="s">
        <v>36</v>
      </c>
      <c r="D76" s="6">
        <v>968</v>
      </c>
      <c r="E76" s="6" t="s">
        <v>10</v>
      </c>
      <c r="F76" s="6" t="s">
        <v>32</v>
      </c>
      <c r="G76" s="15">
        <v>135</v>
      </c>
      <c r="H76" s="15">
        <v>135</v>
      </c>
    </row>
    <row r="77" spans="1:8" s="26" customFormat="1" ht="38.25">
      <c r="A77" s="61" t="s">
        <v>386</v>
      </c>
      <c r="B77" s="62" t="s">
        <v>262</v>
      </c>
      <c r="C77" s="62"/>
      <c r="D77" s="62" t="s">
        <v>2</v>
      </c>
      <c r="E77" s="62" t="s">
        <v>18</v>
      </c>
      <c r="F77" s="62" t="s">
        <v>24</v>
      </c>
      <c r="G77" s="67">
        <f>G78+G81+G89</f>
        <v>225845.73475</v>
      </c>
      <c r="H77" s="67">
        <f>H78+H81+H89</f>
        <v>3172.2449000000001</v>
      </c>
    </row>
    <row r="78" spans="1:8" s="26" customFormat="1" ht="38.25">
      <c r="A78" s="83" t="s">
        <v>0</v>
      </c>
      <c r="B78" s="82" t="s">
        <v>325</v>
      </c>
      <c r="C78" s="82"/>
      <c r="D78" s="82" t="s">
        <v>2</v>
      </c>
      <c r="E78" s="82" t="s">
        <v>12</v>
      </c>
      <c r="F78" s="82" t="s">
        <v>14</v>
      </c>
      <c r="G78" s="76">
        <f>G79</f>
        <v>100</v>
      </c>
      <c r="H78" s="35">
        <f t="shared" ref="H78:H79" si="3">H79</f>
        <v>100</v>
      </c>
    </row>
    <row r="79" spans="1:8" s="26" customFormat="1" ht="25.5">
      <c r="A79" s="83" t="s">
        <v>66</v>
      </c>
      <c r="B79" s="82" t="s">
        <v>326</v>
      </c>
      <c r="C79" s="82"/>
      <c r="D79" s="82" t="s">
        <v>2</v>
      </c>
      <c r="E79" s="82" t="s">
        <v>12</v>
      </c>
      <c r="F79" s="82" t="s">
        <v>14</v>
      </c>
      <c r="G79" s="76">
        <f>G80</f>
        <v>100</v>
      </c>
      <c r="H79" s="35">
        <f t="shared" si="3"/>
        <v>100</v>
      </c>
    </row>
    <row r="80" spans="1:8" s="26" customFormat="1" ht="25.5">
      <c r="A80" s="86" t="s">
        <v>35</v>
      </c>
      <c r="B80" s="80" t="s">
        <v>326</v>
      </c>
      <c r="C80" s="80" t="s">
        <v>36</v>
      </c>
      <c r="D80" s="80" t="s">
        <v>2</v>
      </c>
      <c r="E80" s="80" t="s">
        <v>12</v>
      </c>
      <c r="F80" s="80" t="s">
        <v>14</v>
      </c>
      <c r="G80" s="77">
        <v>100</v>
      </c>
      <c r="H80" s="72">
        <v>100</v>
      </c>
    </row>
    <row r="81" spans="1:8" s="26" customFormat="1" ht="51">
      <c r="A81" s="56" t="s">
        <v>327</v>
      </c>
      <c r="B81" s="82" t="s">
        <v>328</v>
      </c>
      <c r="C81" s="82"/>
      <c r="D81" s="82" t="s">
        <v>59</v>
      </c>
      <c r="E81" s="82" t="s">
        <v>13</v>
      </c>
      <c r="F81" s="82" t="s">
        <v>24</v>
      </c>
      <c r="G81" s="76">
        <f>G82+G85</f>
        <v>224042.89084000001</v>
      </c>
      <c r="H81" s="76">
        <f>H82+H85</f>
        <v>0</v>
      </c>
    </row>
    <row r="82" spans="1:8" s="26" customFormat="1" ht="38.25">
      <c r="A82" s="83" t="s">
        <v>329</v>
      </c>
      <c r="B82" s="82" t="s">
        <v>330</v>
      </c>
      <c r="C82" s="82"/>
      <c r="D82" s="82" t="s">
        <v>67</v>
      </c>
      <c r="E82" s="82" t="s">
        <v>27</v>
      </c>
      <c r="F82" s="82" t="s">
        <v>11</v>
      </c>
      <c r="G82" s="76">
        <f>G83</f>
        <v>119645.11184</v>
      </c>
      <c r="H82" s="76">
        <f>H83</f>
        <v>0</v>
      </c>
    </row>
    <row r="83" spans="1:8" s="26" customFormat="1">
      <c r="A83" s="87" t="s">
        <v>304</v>
      </c>
      <c r="B83" s="82" t="s">
        <v>331</v>
      </c>
      <c r="C83" s="82"/>
      <c r="D83" s="82" t="s">
        <v>67</v>
      </c>
      <c r="E83" s="82" t="s">
        <v>27</v>
      </c>
      <c r="F83" s="82" t="s">
        <v>11</v>
      </c>
      <c r="G83" s="76">
        <f>G84</f>
        <v>119645.11184</v>
      </c>
      <c r="H83" s="76">
        <f>H84</f>
        <v>0</v>
      </c>
    </row>
    <row r="84" spans="1:8" s="26" customFormat="1" ht="38.25">
      <c r="A84" s="88" t="s">
        <v>316</v>
      </c>
      <c r="B84" s="80" t="s">
        <v>331</v>
      </c>
      <c r="C84" s="80" t="s">
        <v>317</v>
      </c>
      <c r="D84" s="80" t="s">
        <v>67</v>
      </c>
      <c r="E84" s="80" t="s">
        <v>27</v>
      </c>
      <c r="F84" s="80" t="s">
        <v>11</v>
      </c>
      <c r="G84" s="77">
        <v>119645.11184</v>
      </c>
      <c r="H84" s="77">
        <v>0</v>
      </c>
    </row>
    <row r="85" spans="1:8" s="26" customFormat="1" ht="38.25">
      <c r="A85" s="83" t="s">
        <v>332</v>
      </c>
      <c r="B85" s="82" t="s">
        <v>333</v>
      </c>
      <c r="C85" s="82"/>
      <c r="D85" s="82" t="s">
        <v>59</v>
      </c>
      <c r="E85" s="82" t="s">
        <v>14</v>
      </c>
      <c r="F85" s="82" t="s">
        <v>11</v>
      </c>
      <c r="G85" s="76">
        <f>G86</f>
        <v>104397.77900000001</v>
      </c>
      <c r="H85" s="76">
        <f>H86</f>
        <v>0</v>
      </c>
    </row>
    <row r="86" spans="1:8" s="26" customFormat="1">
      <c r="A86" s="87" t="s">
        <v>304</v>
      </c>
      <c r="B86" s="82" t="s">
        <v>334</v>
      </c>
      <c r="C86" s="82"/>
      <c r="D86" s="82" t="s">
        <v>59</v>
      </c>
      <c r="E86" s="82" t="s">
        <v>14</v>
      </c>
      <c r="F86" s="82" t="s">
        <v>11</v>
      </c>
      <c r="G86" s="76">
        <f>G87+G88</f>
        <v>104397.77900000001</v>
      </c>
      <c r="H86" s="76">
        <f>H87+H88</f>
        <v>0</v>
      </c>
    </row>
    <row r="87" spans="1:8" s="26" customFormat="1">
      <c r="A87" s="88" t="s">
        <v>335</v>
      </c>
      <c r="B87" s="80" t="s">
        <v>334</v>
      </c>
      <c r="C87" s="80" t="s">
        <v>336</v>
      </c>
      <c r="D87" s="80" t="s">
        <v>59</v>
      </c>
      <c r="E87" s="80" t="s">
        <v>14</v>
      </c>
      <c r="F87" s="80" t="s">
        <v>11</v>
      </c>
      <c r="G87" s="77">
        <v>48032.75</v>
      </c>
      <c r="H87" s="77">
        <v>0</v>
      </c>
    </row>
    <row r="88" spans="1:8" s="26" customFormat="1">
      <c r="A88" s="88" t="s">
        <v>337</v>
      </c>
      <c r="B88" s="80" t="s">
        <v>334</v>
      </c>
      <c r="C88" s="80" t="s">
        <v>49</v>
      </c>
      <c r="D88" s="80" t="s">
        <v>59</v>
      </c>
      <c r="E88" s="80" t="s">
        <v>14</v>
      </c>
      <c r="F88" s="80" t="s">
        <v>11</v>
      </c>
      <c r="G88" s="77">
        <v>56365.029000000002</v>
      </c>
      <c r="H88" s="77">
        <v>0</v>
      </c>
    </row>
    <row r="89" spans="1:8" s="26" customFormat="1" ht="25.5">
      <c r="A89" s="87" t="s">
        <v>338</v>
      </c>
      <c r="B89" s="82" t="s">
        <v>324</v>
      </c>
      <c r="C89" s="82"/>
      <c r="D89" s="82" t="s">
        <v>2</v>
      </c>
      <c r="E89" s="82" t="s">
        <v>18</v>
      </c>
      <c r="F89" s="82" t="s">
        <v>24</v>
      </c>
      <c r="G89" s="76">
        <f>G90</f>
        <v>1702.8439100000001</v>
      </c>
      <c r="H89" s="76">
        <f>H90</f>
        <v>3072.2449000000001</v>
      </c>
    </row>
    <row r="90" spans="1:8" s="26" customFormat="1">
      <c r="A90" s="87" t="s">
        <v>304</v>
      </c>
      <c r="B90" s="82" t="s">
        <v>323</v>
      </c>
      <c r="C90" s="82"/>
      <c r="D90" s="82" t="s">
        <v>2</v>
      </c>
      <c r="E90" s="82" t="s">
        <v>18</v>
      </c>
      <c r="F90" s="82" t="s">
        <v>24</v>
      </c>
      <c r="G90" s="76">
        <f>G91</f>
        <v>1702.8439100000001</v>
      </c>
      <c r="H90" s="76">
        <f>H91</f>
        <v>3072.2449000000001</v>
      </c>
    </row>
    <row r="91" spans="1:8" s="26" customFormat="1" ht="25.5">
      <c r="A91" s="10" t="s">
        <v>35</v>
      </c>
      <c r="B91" s="80" t="s">
        <v>323</v>
      </c>
      <c r="C91" s="80" t="s">
        <v>36</v>
      </c>
      <c r="D91" s="80" t="s">
        <v>2</v>
      </c>
      <c r="E91" s="80" t="s">
        <v>18</v>
      </c>
      <c r="F91" s="80" t="s">
        <v>24</v>
      </c>
      <c r="G91" s="77">
        <v>1702.8439100000001</v>
      </c>
      <c r="H91" s="77">
        <v>3072.2449000000001</v>
      </c>
    </row>
    <row r="92" spans="1:8" s="26" customFormat="1" ht="25.5">
      <c r="A92" s="33" t="s">
        <v>387</v>
      </c>
      <c r="B92" s="62" t="s">
        <v>89</v>
      </c>
      <c r="C92" s="62"/>
      <c r="D92" s="62"/>
      <c r="E92" s="62"/>
      <c r="F92" s="62"/>
      <c r="G92" s="63">
        <f>G93+G99+G105+G111</f>
        <v>82626.150000000009</v>
      </c>
      <c r="H92" s="63">
        <f>H93+H99+H105+H111</f>
        <v>64686.149999999994</v>
      </c>
    </row>
    <row r="93" spans="1:8" s="26" customFormat="1" ht="13.5">
      <c r="A93" s="27" t="s">
        <v>228</v>
      </c>
      <c r="B93" s="7" t="s">
        <v>95</v>
      </c>
      <c r="C93" s="7"/>
      <c r="D93" s="7" t="s">
        <v>58</v>
      </c>
      <c r="E93" s="7" t="s">
        <v>25</v>
      </c>
      <c r="F93" s="7" t="s">
        <v>10</v>
      </c>
      <c r="G93" s="28">
        <f>G94</f>
        <v>19376.97</v>
      </c>
      <c r="H93" s="28">
        <f>H94</f>
        <v>19376.97</v>
      </c>
    </row>
    <row r="94" spans="1:8" s="26" customFormat="1" ht="25.5">
      <c r="A94" s="17" t="s">
        <v>96</v>
      </c>
      <c r="B94" s="4" t="s">
        <v>97</v>
      </c>
      <c r="C94" s="4"/>
      <c r="D94" s="4" t="s">
        <v>58</v>
      </c>
      <c r="E94" s="4" t="s">
        <v>16</v>
      </c>
      <c r="F94" s="4" t="s">
        <v>10</v>
      </c>
      <c r="G94" s="5">
        <f>G95+G97</f>
        <v>19376.97</v>
      </c>
      <c r="H94" s="5">
        <f>H95+H97</f>
        <v>19376.97</v>
      </c>
    </row>
    <row r="95" spans="1:8" s="26" customFormat="1" ht="25.5">
      <c r="A95" s="16" t="s">
        <v>100</v>
      </c>
      <c r="B95" s="4" t="s">
        <v>188</v>
      </c>
      <c r="C95" s="4"/>
      <c r="D95" s="4" t="s">
        <v>58</v>
      </c>
      <c r="E95" s="4" t="s">
        <v>16</v>
      </c>
      <c r="F95" s="4" t="s">
        <v>10</v>
      </c>
      <c r="G95" s="5">
        <f>G96</f>
        <v>8125.77</v>
      </c>
      <c r="H95" s="5">
        <f>H96</f>
        <v>8125.77</v>
      </c>
    </row>
    <row r="96" spans="1:8" s="26" customFormat="1" ht="51">
      <c r="A96" s="11" t="s">
        <v>40</v>
      </c>
      <c r="B96" s="6" t="s">
        <v>188</v>
      </c>
      <c r="C96" s="6" t="s">
        <v>45</v>
      </c>
      <c r="D96" s="6" t="s">
        <v>58</v>
      </c>
      <c r="E96" s="6" t="s">
        <v>16</v>
      </c>
      <c r="F96" s="6" t="s">
        <v>10</v>
      </c>
      <c r="G96" s="72">
        <v>8125.77</v>
      </c>
      <c r="H96" s="72">
        <v>8125.77</v>
      </c>
    </row>
    <row r="97" spans="1:11" s="26" customFormat="1" ht="25.5">
      <c r="A97" s="16" t="s">
        <v>98</v>
      </c>
      <c r="B97" s="4" t="s">
        <v>99</v>
      </c>
      <c r="C97" s="4"/>
      <c r="D97" s="4" t="s">
        <v>58</v>
      </c>
      <c r="E97" s="4" t="s">
        <v>16</v>
      </c>
      <c r="F97" s="4" t="s">
        <v>10</v>
      </c>
      <c r="G97" s="73">
        <f>G98</f>
        <v>11251.2</v>
      </c>
      <c r="H97" s="73">
        <f>H98</f>
        <v>11251.2</v>
      </c>
    </row>
    <row r="98" spans="1:11" s="26" customFormat="1" ht="51">
      <c r="A98" s="11" t="s">
        <v>40</v>
      </c>
      <c r="B98" s="6" t="s">
        <v>99</v>
      </c>
      <c r="C98" s="6" t="s">
        <v>45</v>
      </c>
      <c r="D98" s="6" t="s">
        <v>58</v>
      </c>
      <c r="E98" s="6" t="s">
        <v>16</v>
      </c>
      <c r="F98" s="6" t="s">
        <v>10</v>
      </c>
      <c r="G98" s="72">
        <v>11251.2</v>
      </c>
      <c r="H98" s="72">
        <v>11251.2</v>
      </c>
    </row>
    <row r="99" spans="1:11" s="26" customFormat="1" ht="27">
      <c r="A99" s="46" t="s">
        <v>229</v>
      </c>
      <c r="B99" s="7" t="s">
        <v>101</v>
      </c>
      <c r="C99" s="7"/>
      <c r="D99" s="7" t="s">
        <v>58</v>
      </c>
      <c r="E99" s="7" t="s">
        <v>25</v>
      </c>
      <c r="F99" s="7" t="s">
        <v>10</v>
      </c>
      <c r="G99" s="74">
        <f>G100</f>
        <v>26189.980000000003</v>
      </c>
      <c r="H99" s="74">
        <f>H100</f>
        <v>17219.98</v>
      </c>
    </row>
    <row r="100" spans="1:11" s="26" customFormat="1" ht="25.5">
      <c r="A100" s="17" t="s">
        <v>102</v>
      </c>
      <c r="B100" s="4" t="s">
        <v>103</v>
      </c>
      <c r="C100" s="4"/>
      <c r="D100" s="4" t="s">
        <v>58</v>
      </c>
      <c r="E100" s="4" t="s">
        <v>16</v>
      </c>
      <c r="F100" s="4" t="s">
        <v>10</v>
      </c>
      <c r="G100" s="73">
        <f>G101+G103</f>
        <v>26189.980000000003</v>
      </c>
      <c r="H100" s="73">
        <f>H101+H103</f>
        <v>17219.98</v>
      </c>
    </row>
    <row r="101" spans="1:11" s="26" customFormat="1" ht="25.5">
      <c r="A101" s="16" t="s">
        <v>100</v>
      </c>
      <c r="B101" s="4" t="s">
        <v>189</v>
      </c>
      <c r="C101" s="4"/>
      <c r="D101" s="4" t="s">
        <v>58</v>
      </c>
      <c r="E101" s="4" t="s">
        <v>16</v>
      </c>
      <c r="F101" s="4" t="s">
        <v>10</v>
      </c>
      <c r="G101" s="73">
        <f>G102</f>
        <v>13509.28</v>
      </c>
      <c r="H101" s="73">
        <f>H102</f>
        <v>13509.28</v>
      </c>
    </row>
    <row r="102" spans="1:11" s="26" customFormat="1" ht="51">
      <c r="A102" s="18" t="s">
        <v>41</v>
      </c>
      <c r="B102" s="6" t="s">
        <v>189</v>
      </c>
      <c r="C102" s="6" t="s">
        <v>44</v>
      </c>
      <c r="D102" s="6" t="s">
        <v>58</v>
      </c>
      <c r="E102" s="6" t="s">
        <v>16</v>
      </c>
      <c r="F102" s="6" t="s">
        <v>10</v>
      </c>
      <c r="G102" s="72">
        <v>13509.28</v>
      </c>
      <c r="H102" s="72">
        <v>13509.28</v>
      </c>
    </row>
    <row r="103" spans="1:11" s="26" customFormat="1" ht="38.25">
      <c r="A103" s="16" t="s">
        <v>104</v>
      </c>
      <c r="B103" s="4" t="s">
        <v>105</v>
      </c>
      <c r="C103" s="4"/>
      <c r="D103" s="4" t="s">
        <v>58</v>
      </c>
      <c r="E103" s="4" t="s">
        <v>25</v>
      </c>
      <c r="F103" s="4" t="s">
        <v>10</v>
      </c>
      <c r="G103" s="73">
        <f>SUM(G104:G104)</f>
        <v>12680.7</v>
      </c>
      <c r="H103" s="73">
        <f>SUM(H104:H104)</f>
        <v>3710.7</v>
      </c>
    </row>
    <row r="104" spans="1:11" s="26" customFormat="1" ht="51">
      <c r="A104" s="18" t="s">
        <v>41</v>
      </c>
      <c r="B104" s="6" t="s">
        <v>105</v>
      </c>
      <c r="C104" s="6" t="s">
        <v>44</v>
      </c>
      <c r="D104" s="6" t="s">
        <v>58</v>
      </c>
      <c r="E104" s="6" t="s">
        <v>16</v>
      </c>
      <c r="F104" s="6" t="s">
        <v>10</v>
      </c>
      <c r="G104" s="72">
        <v>12680.7</v>
      </c>
      <c r="H104" s="72">
        <v>3710.7</v>
      </c>
    </row>
    <row r="105" spans="1:11" s="26" customFormat="1" ht="27">
      <c r="A105" s="27" t="s">
        <v>227</v>
      </c>
      <c r="B105" s="7" t="s">
        <v>90</v>
      </c>
      <c r="C105" s="7"/>
      <c r="D105" s="7">
        <v>973</v>
      </c>
      <c r="E105" s="7" t="s">
        <v>13</v>
      </c>
      <c r="F105" s="7" t="s">
        <v>24</v>
      </c>
      <c r="G105" s="74">
        <f>G106</f>
        <v>23825.1</v>
      </c>
      <c r="H105" s="74">
        <f>H106</f>
        <v>14855.1</v>
      </c>
    </row>
    <row r="106" spans="1:11" s="26" customFormat="1" ht="25.5">
      <c r="A106" s="17" t="s">
        <v>91</v>
      </c>
      <c r="B106" s="4" t="s">
        <v>92</v>
      </c>
      <c r="C106" s="4"/>
      <c r="D106" s="4" t="s">
        <v>58</v>
      </c>
      <c r="E106" s="4" t="s">
        <v>13</v>
      </c>
      <c r="F106" s="4" t="s">
        <v>24</v>
      </c>
      <c r="G106" s="73">
        <f>G109+G107</f>
        <v>23825.1</v>
      </c>
      <c r="H106" s="73">
        <f>H109+H107</f>
        <v>14855.1</v>
      </c>
    </row>
    <row r="107" spans="1:11" s="26" customFormat="1" ht="76.5">
      <c r="A107" s="17" t="s">
        <v>284</v>
      </c>
      <c r="B107" s="4" t="s">
        <v>187</v>
      </c>
      <c r="C107" s="4"/>
      <c r="D107" s="4">
        <v>973</v>
      </c>
      <c r="E107" s="4" t="s">
        <v>13</v>
      </c>
      <c r="F107" s="4" t="s">
        <v>24</v>
      </c>
      <c r="G107" s="73">
        <f>G108</f>
        <v>13342.1</v>
      </c>
      <c r="H107" s="73">
        <f>H108</f>
        <v>13342.1</v>
      </c>
    </row>
    <row r="108" spans="1:11" s="26" customFormat="1" ht="51">
      <c r="A108" s="18" t="s">
        <v>41</v>
      </c>
      <c r="B108" s="6" t="s">
        <v>187</v>
      </c>
      <c r="C108" s="6" t="s">
        <v>44</v>
      </c>
      <c r="D108" s="6">
        <v>973</v>
      </c>
      <c r="E108" s="6" t="s">
        <v>13</v>
      </c>
      <c r="F108" s="6" t="s">
        <v>24</v>
      </c>
      <c r="G108" s="72">
        <v>13342.1</v>
      </c>
      <c r="H108" s="72">
        <v>13342.1</v>
      </c>
    </row>
    <row r="109" spans="1:11" s="26" customFormat="1" ht="38.25">
      <c r="A109" s="16" t="s">
        <v>93</v>
      </c>
      <c r="B109" s="4" t="s">
        <v>94</v>
      </c>
      <c r="C109" s="4"/>
      <c r="D109" s="4">
        <v>973</v>
      </c>
      <c r="E109" s="4" t="s">
        <v>13</v>
      </c>
      <c r="F109" s="4" t="s">
        <v>24</v>
      </c>
      <c r="G109" s="73">
        <f>G110</f>
        <v>10483</v>
      </c>
      <c r="H109" s="73">
        <f>H110</f>
        <v>1513</v>
      </c>
    </row>
    <row r="110" spans="1:11" s="26" customFormat="1" ht="51">
      <c r="A110" s="18" t="s">
        <v>41</v>
      </c>
      <c r="B110" s="6" t="s">
        <v>94</v>
      </c>
      <c r="C110" s="6" t="s">
        <v>44</v>
      </c>
      <c r="D110" s="6" t="s">
        <v>58</v>
      </c>
      <c r="E110" s="6" t="s">
        <v>13</v>
      </c>
      <c r="F110" s="6" t="s">
        <v>24</v>
      </c>
      <c r="G110" s="72">
        <v>10483</v>
      </c>
      <c r="H110" s="72">
        <v>1513</v>
      </c>
      <c r="I110" s="71">
        <f>H98+H104+H110+H114+H117+H118+H120+H121+H137+H143+H144+H146+H147+H158+H245+H249</f>
        <v>40346.579999999994</v>
      </c>
      <c r="J110" s="71" t="e">
        <f>G96+G102+#REF!+G108+G132+G133+G138+G154</f>
        <v>#REF!</v>
      </c>
      <c r="K110" s="71" t="e">
        <f>H96+H102+#REF!+H108+H132+H133+H138+H154</f>
        <v>#REF!</v>
      </c>
    </row>
    <row r="111" spans="1:11" s="26" customFormat="1" ht="13.5">
      <c r="A111" s="27" t="s">
        <v>230</v>
      </c>
      <c r="B111" s="7" t="s">
        <v>106</v>
      </c>
      <c r="C111" s="7"/>
      <c r="D111" s="7" t="s">
        <v>58</v>
      </c>
      <c r="E111" s="7" t="s">
        <v>16</v>
      </c>
      <c r="F111" s="7" t="s">
        <v>10</v>
      </c>
      <c r="G111" s="74">
        <f>G112+G116+G119</f>
        <v>13234.100000000002</v>
      </c>
      <c r="H111" s="74">
        <f>H112+H116+H119</f>
        <v>13234.100000000002</v>
      </c>
    </row>
    <row r="112" spans="1:11" s="26" customFormat="1" ht="25.5">
      <c r="A112" s="17" t="s">
        <v>107</v>
      </c>
      <c r="B112" s="4" t="s">
        <v>108</v>
      </c>
      <c r="C112" s="4"/>
      <c r="D112" s="4" t="s">
        <v>58</v>
      </c>
      <c r="E112" s="4" t="s">
        <v>16</v>
      </c>
      <c r="F112" s="4" t="s">
        <v>10</v>
      </c>
      <c r="G112" s="73">
        <f>G113</f>
        <v>150</v>
      </c>
      <c r="H112" s="73">
        <f>H113</f>
        <v>150</v>
      </c>
    </row>
    <row r="113" spans="1:8" s="26" customFormat="1" ht="25.5">
      <c r="A113" s="12" t="s">
        <v>109</v>
      </c>
      <c r="B113" s="4" t="s">
        <v>110</v>
      </c>
      <c r="C113" s="4"/>
      <c r="D113" s="4" t="s">
        <v>58</v>
      </c>
      <c r="E113" s="4" t="s">
        <v>16</v>
      </c>
      <c r="F113" s="4" t="s">
        <v>10</v>
      </c>
      <c r="G113" s="73">
        <f>SUM(G114:G114)</f>
        <v>150</v>
      </c>
      <c r="H113" s="73">
        <f>SUM(H114:H114)</f>
        <v>150</v>
      </c>
    </row>
    <row r="114" spans="1:8" s="26" customFormat="1" ht="25.5">
      <c r="A114" s="11" t="s">
        <v>51</v>
      </c>
      <c r="B114" s="6" t="s">
        <v>110</v>
      </c>
      <c r="C114" s="6" t="s">
        <v>36</v>
      </c>
      <c r="D114" s="6" t="s">
        <v>58</v>
      </c>
      <c r="E114" s="6" t="s">
        <v>16</v>
      </c>
      <c r="F114" s="6" t="s">
        <v>10</v>
      </c>
      <c r="G114" s="72">
        <v>150</v>
      </c>
      <c r="H114" s="72">
        <v>150</v>
      </c>
    </row>
    <row r="115" spans="1:8" s="26" customFormat="1" ht="25.5">
      <c r="A115" s="17" t="s">
        <v>275</v>
      </c>
      <c r="B115" s="4" t="s">
        <v>274</v>
      </c>
      <c r="C115" s="6"/>
      <c r="D115" s="4" t="s">
        <v>58</v>
      </c>
      <c r="E115" s="4" t="s">
        <v>16</v>
      </c>
      <c r="F115" s="4" t="s">
        <v>12</v>
      </c>
      <c r="G115" s="73">
        <f>SUM(G116:G117)</f>
        <v>1963.8000000000002</v>
      </c>
      <c r="H115" s="73">
        <f>SUM(H116:H117)</f>
        <v>1963.8000000000002</v>
      </c>
    </row>
    <row r="116" spans="1:8" s="26" customFormat="1" ht="25.5">
      <c r="A116" s="17" t="s">
        <v>50</v>
      </c>
      <c r="B116" s="4" t="s">
        <v>153</v>
      </c>
      <c r="C116" s="4"/>
      <c r="D116" s="4" t="s">
        <v>58</v>
      </c>
      <c r="E116" s="4" t="s">
        <v>16</v>
      </c>
      <c r="F116" s="4" t="s">
        <v>12</v>
      </c>
      <c r="G116" s="73">
        <f>SUM(G117:G118)</f>
        <v>1110.7</v>
      </c>
      <c r="H116" s="73">
        <f>SUM(H117:H118)</f>
        <v>1110.7</v>
      </c>
    </row>
    <row r="117" spans="1:8" s="26" customFormat="1" ht="25.5">
      <c r="A117" s="10" t="s">
        <v>76</v>
      </c>
      <c r="B117" s="6" t="s">
        <v>153</v>
      </c>
      <c r="C117" s="6" t="s">
        <v>34</v>
      </c>
      <c r="D117" s="6" t="s">
        <v>58</v>
      </c>
      <c r="E117" s="6" t="s">
        <v>16</v>
      </c>
      <c r="F117" s="6" t="s">
        <v>12</v>
      </c>
      <c r="G117" s="72">
        <v>853.1</v>
      </c>
      <c r="H117" s="72">
        <v>853.1</v>
      </c>
    </row>
    <row r="118" spans="1:8" s="26" customFormat="1" ht="38.25">
      <c r="A118" s="10" t="s">
        <v>77</v>
      </c>
      <c r="B118" s="6" t="s">
        <v>153</v>
      </c>
      <c r="C118" s="6" t="s">
        <v>70</v>
      </c>
      <c r="D118" s="6" t="s">
        <v>58</v>
      </c>
      <c r="E118" s="6" t="s">
        <v>16</v>
      </c>
      <c r="F118" s="6" t="s">
        <v>12</v>
      </c>
      <c r="G118" s="72">
        <v>257.60000000000002</v>
      </c>
      <c r="H118" s="72">
        <v>257.60000000000002</v>
      </c>
    </row>
    <row r="119" spans="1:8" s="26" customFormat="1" ht="25.5">
      <c r="A119" s="12" t="s">
        <v>204</v>
      </c>
      <c r="B119" s="4" t="s">
        <v>111</v>
      </c>
      <c r="C119" s="4"/>
      <c r="D119" s="4" t="s">
        <v>58</v>
      </c>
      <c r="E119" s="4" t="s">
        <v>16</v>
      </c>
      <c r="F119" s="4" t="s">
        <v>12</v>
      </c>
      <c r="G119" s="73">
        <f>SUM(G120:G122)</f>
        <v>11973.400000000001</v>
      </c>
      <c r="H119" s="73">
        <f>SUM(H120:H122)</f>
        <v>11973.400000000001</v>
      </c>
    </row>
    <row r="120" spans="1:8" s="26" customFormat="1">
      <c r="A120" s="11" t="s">
        <v>150</v>
      </c>
      <c r="B120" s="6" t="s">
        <v>111</v>
      </c>
      <c r="C120" s="6" t="s">
        <v>52</v>
      </c>
      <c r="D120" s="6" t="s">
        <v>58</v>
      </c>
      <c r="E120" s="6" t="s">
        <v>16</v>
      </c>
      <c r="F120" s="6" t="s">
        <v>12</v>
      </c>
      <c r="G120" s="72">
        <v>9191.2000000000007</v>
      </c>
      <c r="H120" s="72">
        <v>9191.2000000000007</v>
      </c>
    </row>
    <row r="121" spans="1:8" s="26" customFormat="1" ht="38.25">
      <c r="A121" s="11" t="s">
        <v>149</v>
      </c>
      <c r="B121" s="6" t="s">
        <v>111</v>
      </c>
      <c r="C121" s="6" t="s">
        <v>83</v>
      </c>
      <c r="D121" s="6" t="s">
        <v>58</v>
      </c>
      <c r="E121" s="6" t="s">
        <v>16</v>
      </c>
      <c r="F121" s="6" t="s">
        <v>12</v>
      </c>
      <c r="G121" s="72">
        <v>2775.7</v>
      </c>
      <c r="H121" s="72">
        <v>2775.7</v>
      </c>
    </row>
    <row r="122" spans="1:8" s="26" customFormat="1">
      <c r="A122" s="11" t="s">
        <v>84</v>
      </c>
      <c r="B122" s="6" t="s">
        <v>111</v>
      </c>
      <c r="C122" s="6" t="s">
        <v>39</v>
      </c>
      <c r="D122" s="6" t="s">
        <v>58</v>
      </c>
      <c r="E122" s="6" t="s">
        <v>16</v>
      </c>
      <c r="F122" s="6" t="s">
        <v>12</v>
      </c>
      <c r="G122" s="15">
        <v>6.5</v>
      </c>
      <c r="H122" s="15">
        <v>6.5</v>
      </c>
    </row>
    <row r="123" spans="1:8" s="26" customFormat="1" ht="38.25">
      <c r="A123" s="33" t="s">
        <v>388</v>
      </c>
      <c r="B123" s="62" t="s">
        <v>112</v>
      </c>
      <c r="C123" s="62"/>
      <c r="D123" s="62"/>
      <c r="E123" s="62"/>
      <c r="F123" s="62"/>
      <c r="G123" s="67">
        <f>G124+G128+G134+G140+G151+G156</f>
        <v>54166.383690000002</v>
      </c>
      <c r="H123" s="67">
        <f>H124+H128+H134+H140+H151+H156</f>
        <v>29496.930990000004</v>
      </c>
    </row>
    <row r="124" spans="1:8" s="26" customFormat="1" ht="27">
      <c r="A124" s="27" t="s">
        <v>233</v>
      </c>
      <c r="B124" s="54" t="s">
        <v>194</v>
      </c>
      <c r="C124" s="7"/>
      <c r="D124" s="7" t="s">
        <v>3</v>
      </c>
      <c r="E124" s="7" t="s">
        <v>27</v>
      </c>
      <c r="F124" s="7" t="s">
        <v>11</v>
      </c>
      <c r="G124" s="28">
        <f>G126</f>
        <v>150</v>
      </c>
      <c r="H124" s="28">
        <f>H126</f>
        <v>150</v>
      </c>
    </row>
    <row r="125" spans="1:8" ht="25.5">
      <c r="A125" s="17" t="s">
        <v>277</v>
      </c>
      <c r="B125" s="50" t="s">
        <v>276</v>
      </c>
      <c r="C125" s="4"/>
      <c r="D125" s="4" t="s">
        <v>3</v>
      </c>
      <c r="E125" s="4" t="s">
        <v>27</v>
      </c>
      <c r="F125" s="4" t="s">
        <v>11</v>
      </c>
      <c r="G125" s="5">
        <f>G126</f>
        <v>150</v>
      </c>
      <c r="H125" s="5">
        <f>H126</f>
        <v>150</v>
      </c>
    </row>
    <row r="126" spans="1:8" s="26" customFormat="1" ht="25.5">
      <c r="A126" s="17" t="s">
        <v>68</v>
      </c>
      <c r="B126" s="50" t="s">
        <v>195</v>
      </c>
      <c r="C126" s="4"/>
      <c r="D126" s="4" t="s">
        <v>3</v>
      </c>
      <c r="E126" s="4" t="s">
        <v>27</v>
      </c>
      <c r="F126" s="4" t="s">
        <v>11</v>
      </c>
      <c r="G126" s="5">
        <f>G127</f>
        <v>150</v>
      </c>
      <c r="H126" s="5">
        <f>H127</f>
        <v>150</v>
      </c>
    </row>
    <row r="127" spans="1:8" s="26" customFormat="1" ht="25.5">
      <c r="A127" s="11" t="s">
        <v>51</v>
      </c>
      <c r="B127" s="51" t="s">
        <v>195</v>
      </c>
      <c r="C127" s="6" t="s">
        <v>36</v>
      </c>
      <c r="D127" s="6" t="s">
        <v>3</v>
      </c>
      <c r="E127" s="6" t="s">
        <v>27</v>
      </c>
      <c r="F127" s="6" t="s">
        <v>11</v>
      </c>
      <c r="G127" s="15">
        <v>150</v>
      </c>
      <c r="H127" s="15">
        <v>150</v>
      </c>
    </row>
    <row r="128" spans="1:8" s="26" customFormat="1" ht="27">
      <c r="A128" s="27" t="s">
        <v>236</v>
      </c>
      <c r="B128" s="54" t="s">
        <v>263</v>
      </c>
      <c r="C128" s="7"/>
      <c r="D128" s="7" t="s">
        <v>3</v>
      </c>
      <c r="E128" s="7" t="s">
        <v>27</v>
      </c>
      <c r="F128" s="7" t="s">
        <v>11</v>
      </c>
      <c r="G128" s="28">
        <f>G129</f>
        <v>3471.8999999999996</v>
      </c>
      <c r="H128" s="28">
        <f>H129</f>
        <v>3471.8999999999996</v>
      </c>
    </row>
    <row r="129" spans="1:8" s="26" customFormat="1" ht="27">
      <c r="A129" s="27" t="s">
        <v>236</v>
      </c>
      <c r="B129" s="54" t="s">
        <v>196</v>
      </c>
      <c r="C129" s="7"/>
      <c r="D129" s="7" t="s">
        <v>3</v>
      </c>
      <c r="E129" s="7" t="s">
        <v>27</v>
      </c>
      <c r="F129" s="7" t="s">
        <v>11</v>
      </c>
      <c r="G129" s="28">
        <f>G131</f>
        <v>3471.8999999999996</v>
      </c>
      <c r="H129" s="28">
        <f>H131</f>
        <v>3471.8999999999996</v>
      </c>
    </row>
    <row r="130" spans="1:8" ht="25.5">
      <c r="A130" s="17" t="s">
        <v>278</v>
      </c>
      <c r="B130" s="50" t="s">
        <v>196</v>
      </c>
      <c r="C130" s="4"/>
      <c r="D130" s="4" t="s">
        <v>3</v>
      </c>
      <c r="E130" s="4" t="s">
        <v>27</v>
      </c>
      <c r="F130" s="4" t="s">
        <v>11</v>
      </c>
      <c r="G130" s="5">
        <f>G131+G132</f>
        <v>6138.5</v>
      </c>
      <c r="H130" s="5">
        <f>H131+H132</f>
        <v>6138.5</v>
      </c>
    </row>
    <row r="131" spans="1:8" s="26" customFormat="1" ht="25.5">
      <c r="A131" s="12" t="s">
        <v>279</v>
      </c>
      <c r="B131" s="50" t="s">
        <v>197</v>
      </c>
      <c r="C131" s="4"/>
      <c r="D131" s="4" t="s">
        <v>3</v>
      </c>
      <c r="E131" s="4" t="s">
        <v>27</v>
      </c>
      <c r="F131" s="4" t="s">
        <v>11</v>
      </c>
      <c r="G131" s="5">
        <f>G132+G133</f>
        <v>3471.8999999999996</v>
      </c>
      <c r="H131" s="5">
        <f>H132+H133</f>
        <v>3471.8999999999996</v>
      </c>
    </row>
    <row r="132" spans="1:8" s="26" customFormat="1">
      <c r="A132" s="11" t="s">
        <v>151</v>
      </c>
      <c r="B132" s="51" t="s">
        <v>197</v>
      </c>
      <c r="C132" s="6" t="s">
        <v>52</v>
      </c>
      <c r="D132" s="6" t="s">
        <v>3</v>
      </c>
      <c r="E132" s="6" t="s">
        <v>27</v>
      </c>
      <c r="F132" s="6" t="s">
        <v>11</v>
      </c>
      <c r="G132" s="72">
        <v>2666.6</v>
      </c>
      <c r="H132" s="72">
        <v>2666.6</v>
      </c>
    </row>
    <row r="133" spans="1:8" s="26" customFormat="1" ht="38.25">
      <c r="A133" s="11" t="s">
        <v>152</v>
      </c>
      <c r="B133" s="51" t="s">
        <v>197</v>
      </c>
      <c r="C133" s="6" t="s">
        <v>83</v>
      </c>
      <c r="D133" s="6" t="s">
        <v>3</v>
      </c>
      <c r="E133" s="6" t="s">
        <v>27</v>
      </c>
      <c r="F133" s="6" t="s">
        <v>11</v>
      </c>
      <c r="G133" s="72">
        <v>805.3</v>
      </c>
      <c r="H133" s="72">
        <v>805.3</v>
      </c>
    </row>
    <row r="134" spans="1:8" s="26" customFormat="1" ht="13.5">
      <c r="A134" s="22" t="s">
        <v>234</v>
      </c>
      <c r="B134" s="7" t="s">
        <v>208</v>
      </c>
      <c r="C134" s="7"/>
      <c r="D134" s="7" t="s">
        <v>3</v>
      </c>
      <c r="E134" s="7" t="s">
        <v>27</v>
      </c>
      <c r="F134" s="7" t="s">
        <v>24</v>
      </c>
      <c r="G134" s="74">
        <f>G135</f>
        <v>41630.332699999999</v>
      </c>
      <c r="H134" s="74">
        <f>H135</f>
        <v>16960.88</v>
      </c>
    </row>
    <row r="135" spans="1:8" s="26" customFormat="1" ht="25.5">
      <c r="A135" s="17" t="s">
        <v>198</v>
      </c>
      <c r="B135" s="4" t="s">
        <v>199</v>
      </c>
      <c r="C135" s="4"/>
      <c r="D135" s="4" t="s">
        <v>3</v>
      </c>
      <c r="E135" s="4" t="s">
        <v>27</v>
      </c>
      <c r="F135" s="4" t="s">
        <v>24</v>
      </c>
      <c r="G135" s="73">
        <f>G136+G138</f>
        <v>41630.332699999999</v>
      </c>
      <c r="H135" s="73">
        <f>H136+H138</f>
        <v>16960.88</v>
      </c>
    </row>
    <row r="136" spans="1:8" s="26" customFormat="1" ht="25.5">
      <c r="A136" s="17" t="s">
        <v>209</v>
      </c>
      <c r="B136" s="4" t="s">
        <v>200</v>
      </c>
      <c r="C136" s="4"/>
      <c r="D136" s="4" t="s">
        <v>3</v>
      </c>
      <c r="E136" s="4" t="s">
        <v>27</v>
      </c>
      <c r="F136" s="4" t="s">
        <v>24</v>
      </c>
      <c r="G136" s="73">
        <f>G137</f>
        <v>28342.932699999998</v>
      </c>
      <c r="H136" s="73">
        <f>H137</f>
        <v>3673.48</v>
      </c>
    </row>
    <row r="137" spans="1:8" s="26" customFormat="1" ht="51">
      <c r="A137" s="18" t="s">
        <v>40</v>
      </c>
      <c r="B137" s="6" t="s">
        <v>200</v>
      </c>
      <c r="C137" s="6" t="s">
        <v>45</v>
      </c>
      <c r="D137" s="6" t="s">
        <v>3</v>
      </c>
      <c r="E137" s="6" t="s">
        <v>27</v>
      </c>
      <c r="F137" s="6" t="s">
        <v>24</v>
      </c>
      <c r="G137" s="72">
        <f>32631.1-4288.1673</f>
        <v>28342.932699999998</v>
      </c>
      <c r="H137" s="72">
        <v>3673.48</v>
      </c>
    </row>
    <row r="138" spans="1:8" s="26" customFormat="1" ht="25.5">
      <c r="A138" s="17" t="s">
        <v>288</v>
      </c>
      <c r="B138" s="4" t="s">
        <v>214</v>
      </c>
      <c r="C138" s="4"/>
      <c r="D138" s="4" t="s">
        <v>3</v>
      </c>
      <c r="E138" s="4" t="s">
        <v>27</v>
      </c>
      <c r="F138" s="4" t="s">
        <v>24</v>
      </c>
      <c r="G138" s="73">
        <f>G139</f>
        <v>13287.4</v>
      </c>
      <c r="H138" s="73">
        <f>H139</f>
        <v>13287.4</v>
      </c>
    </row>
    <row r="139" spans="1:8" s="26" customFormat="1" ht="51">
      <c r="A139" s="18" t="s">
        <v>40</v>
      </c>
      <c r="B139" s="6" t="s">
        <v>214</v>
      </c>
      <c r="C139" s="6" t="s">
        <v>45</v>
      </c>
      <c r="D139" s="6" t="s">
        <v>3</v>
      </c>
      <c r="E139" s="6" t="s">
        <v>27</v>
      </c>
      <c r="F139" s="6" t="s">
        <v>24</v>
      </c>
      <c r="G139" s="72">
        <v>13287.4</v>
      </c>
      <c r="H139" s="72">
        <v>13287.4</v>
      </c>
    </row>
    <row r="140" spans="1:8" s="26" customFormat="1" ht="27">
      <c r="A140" s="22" t="s">
        <v>235</v>
      </c>
      <c r="B140" s="7" t="s">
        <v>210</v>
      </c>
      <c r="C140" s="7"/>
      <c r="D140" s="7" t="s">
        <v>3</v>
      </c>
      <c r="E140" s="7" t="s">
        <v>27</v>
      </c>
      <c r="F140" s="7" t="s">
        <v>14</v>
      </c>
      <c r="G140" s="74">
        <f>G141</f>
        <v>5288.3000000000011</v>
      </c>
      <c r="H140" s="74">
        <f>H141</f>
        <v>5288.3000000000011</v>
      </c>
    </row>
    <row r="141" spans="1:8" s="26" customFormat="1" ht="39.75" customHeight="1">
      <c r="A141" s="21" t="s">
        <v>315</v>
      </c>
      <c r="B141" s="4" t="s">
        <v>287</v>
      </c>
      <c r="C141" s="4"/>
      <c r="D141" s="4" t="s">
        <v>3</v>
      </c>
      <c r="E141" s="4" t="s">
        <v>27</v>
      </c>
      <c r="F141" s="4" t="s">
        <v>14</v>
      </c>
      <c r="G141" s="73">
        <f>G142+G145+G149</f>
        <v>5288.3000000000011</v>
      </c>
      <c r="H141" s="73">
        <f>H142+H145+H149</f>
        <v>5288.3000000000011</v>
      </c>
    </row>
    <row r="142" spans="1:8" s="26" customFormat="1" ht="25.5">
      <c r="A142" s="17" t="s">
        <v>50</v>
      </c>
      <c r="B142" s="4" t="s">
        <v>202</v>
      </c>
      <c r="C142" s="4"/>
      <c r="D142" s="4" t="s">
        <v>3</v>
      </c>
      <c r="E142" s="4" t="s">
        <v>27</v>
      </c>
      <c r="F142" s="4" t="s">
        <v>14</v>
      </c>
      <c r="G142" s="73">
        <f>G143+G144</f>
        <v>1079.6000000000001</v>
      </c>
      <c r="H142" s="73">
        <f>H143+H144</f>
        <v>1079.6000000000001</v>
      </c>
    </row>
    <row r="143" spans="1:8" s="26" customFormat="1" ht="25.5">
      <c r="A143" s="10" t="s">
        <v>76</v>
      </c>
      <c r="B143" s="6" t="s">
        <v>202</v>
      </c>
      <c r="C143" s="6" t="s">
        <v>34</v>
      </c>
      <c r="D143" s="6" t="s">
        <v>3</v>
      </c>
      <c r="E143" s="6" t="s">
        <v>27</v>
      </c>
      <c r="F143" s="6" t="s">
        <v>14</v>
      </c>
      <c r="G143" s="72">
        <v>829.2</v>
      </c>
      <c r="H143" s="72">
        <v>829.2</v>
      </c>
    </row>
    <row r="144" spans="1:8" s="26" customFormat="1" ht="38.25">
      <c r="A144" s="10" t="s">
        <v>77</v>
      </c>
      <c r="B144" s="6" t="s">
        <v>202</v>
      </c>
      <c r="C144" s="6" t="s">
        <v>70</v>
      </c>
      <c r="D144" s="6" t="s">
        <v>3</v>
      </c>
      <c r="E144" s="6" t="s">
        <v>27</v>
      </c>
      <c r="F144" s="6" t="s">
        <v>14</v>
      </c>
      <c r="G144" s="72">
        <v>250.4</v>
      </c>
      <c r="H144" s="72">
        <v>250.4</v>
      </c>
    </row>
    <row r="145" spans="1:10" s="26" customFormat="1" ht="25.5">
      <c r="A145" s="20" t="s">
        <v>7</v>
      </c>
      <c r="B145" s="4" t="s">
        <v>203</v>
      </c>
      <c r="C145" s="4"/>
      <c r="D145" s="4" t="s">
        <v>3</v>
      </c>
      <c r="E145" s="4" t="s">
        <v>27</v>
      </c>
      <c r="F145" s="4" t="s">
        <v>14</v>
      </c>
      <c r="G145" s="73">
        <f>SUM(G146:G148)</f>
        <v>4108.7000000000007</v>
      </c>
      <c r="H145" s="73">
        <f>SUM(H146:H148)</f>
        <v>4108.7000000000007</v>
      </c>
    </row>
    <row r="146" spans="1:10" s="26" customFormat="1">
      <c r="A146" s="24" t="s">
        <v>150</v>
      </c>
      <c r="B146" s="6" t="s">
        <v>203</v>
      </c>
      <c r="C146" s="6" t="s">
        <v>52</v>
      </c>
      <c r="D146" s="6" t="s">
        <v>3</v>
      </c>
      <c r="E146" s="6" t="s">
        <v>27</v>
      </c>
      <c r="F146" s="6" t="s">
        <v>14</v>
      </c>
      <c r="G146" s="72">
        <f>2462.9+689.7</f>
        <v>3152.6000000000004</v>
      </c>
      <c r="H146" s="72">
        <f>2462.9+689.7</f>
        <v>3152.6000000000004</v>
      </c>
    </row>
    <row r="147" spans="1:10" s="26" customFormat="1" ht="38.25">
      <c r="A147" s="10" t="s">
        <v>152</v>
      </c>
      <c r="B147" s="6" t="s">
        <v>203</v>
      </c>
      <c r="C147" s="6" t="s">
        <v>83</v>
      </c>
      <c r="D147" s="6" t="s">
        <v>3</v>
      </c>
      <c r="E147" s="6" t="s">
        <v>27</v>
      </c>
      <c r="F147" s="6" t="s">
        <v>14</v>
      </c>
      <c r="G147" s="72">
        <f>743.8+208.3</f>
        <v>952.09999999999991</v>
      </c>
      <c r="H147" s="72">
        <f>743.8+208.3</f>
        <v>952.09999999999991</v>
      </c>
    </row>
    <row r="148" spans="1:10" s="26" customFormat="1">
      <c r="A148" s="10" t="s">
        <v>84</v>
      </c>
      <c r="B148" s="6" t="s">
        <v>203</v>
      </c>
      <c r="C148" s="6" t="s">
        <v>39</v>
      </c>
      <c r="D148" s="6" t="s">
        <v>3</v>
      </c>
      <c r="E148" s="6" t="s">
        <v>27</v>
      </c>
      <c r="F148" s="6" t="s">
        <v>14</v>
      </c>
      <c r="G148" s="15">
        <v>4</v>
      </c>
      <c r="H148" s="15">
        <v>4</v>
      </c>
    </row>
    <row r="149" spans="1:10" s="26" customFormat="1" ht="25.5">
      <c r="A149" s="21" t="s">
        <v>286</v>
      </c>
      <c r="B149" s="4" t="s">
        <v>285</v>
      </c>
      <c r="C149" s="4"/>
      <c r="D149" s="4" t="s">
        <v>3</v>
      </c>
      <c r="E149" s="4" t="s">
        <v>13</v>
      </c>
      <c r="F149" s="4" t="s">
        <v>13</v>
      </c>
      <c r="G149" s="73">
        <f>G150</f>
        <v>100</v>
      </c>
      <c r="H149" s="73">
        <f>H150</f>
        <v>100</v>
      </c>
    </row>
    <row r="150" spans="1:10" s="26" customFormat="1" ht="25.5">
      <c r="A150" s="11" t="s">
        <v>51</v>
      </c>
      <c r="B150" s="6" t="s">
        <v>285</v>
      </c>
      <c r="C150" s="6" t="s">
        <v>36</v>
      </c>
      <c r="D150" s="6" t="s">
        <v>3</v>
      </c>
      <c r="E150" s="6" t="s">
        <v>13</v>
      </c>
      <c r="F150" s="6" t="s">
        <v>13</v>
      </c>
      <c r="G150" s="77">
        <v>100</v>
      </c>
      <c r="H150" s="77">
        <v>100</v>
      </c>
    </row>
    <row r="151" spans="1:10" s="26" customFormat="1" ht="13.5">
      <c r="A151" s="27" t="s">
        <v>232</v>
      </c>
      <c r="B151" s="7" t="s">
        <v>191</v>
      </c>
      <c r="C151" s="7"/>
      <c r="D151" s="7" t="s">
        <v>3</v>
      </c>
      <c r="E151" s="7" t="s">
        <v>18</v>
      </c>
      <c r="F151" s="7" t="s">
        <v>12</v>
      </c>
      <c r="G151" s="75">
        <f>G152</f>
        <v>2096.1509900000001</v>
      </c>
      <c r="H151" s="75">
        <f t="shared" ref="G151:H153" si="4">H152</f>
        <v>2096.1509900000001</v>
      </c>
    </row>
    <row r="152" spans="1:10" s="26" customFormat="1" ht="25.5">
      <c r="A152" s="17" t="s">
        <v>4</v>
      </c>
      <c r="B152" s="4" t="s">
        <v>192</v>
      </c>
      <c r="C152" s="4"/>
      <c r="D152" s="4" t="s">
        <v>3</v>
      </c>
      <c r="E152" s="4" t="s">
        <v>18</v>
      </c>
      <c r="F152" s="4" t="s">
        <v>12</v>
      </c>
      <c r="G152" s="76">
        <f>G153</f>
        <v>2096.1509900000001</v>
      </c>
      <c r="H152" s="76">
        <f>H153</f>
        <v>2096.1509900000001</v>
      </c>
    </row>
    <row r="153" spans="1:10" s="26" customFormat="1" ht="89.25">
      <c r="A153" s="17" t="s">
        <v>246</v>
      </c>
      <c r="B153" s="4" t="s">
        <v>193</v>
      </c>
      <c r="C153" s="4"/>
      <c r="D153" s="4" t="s">
        <v>3</v>
      </c>
      <c r="E153" s="4" t="s">
        <v>18</v>
      </c>
      <c r="F153" s="4" t="s">
        <v>12</v>
      </c>
      <c r="G153" s="76">
        <f t="shared" si="4"/>
        <v>2096.1509900000001</v>
      </c>
      <c r="H153" s="76">
        <f t="shared" si="4"/>
        <v>2096.1509900000001</v>
      </c>
    </row>
    <row r="154" spans="1:10" s="26" customFormat="1">
      <c r="A154" s="18" t="s">
        <v>5</v>
      </c>
      <c r="B154" s="6" t="s">
        <v>193</v>
      </c>
      <c r="C154" s="6" t="s">
        <v>6</v>
      </c>
      <c r="D154" s="6" t="s">
        <v>3</v>
      </c>
      <c r="E154" s="6" t="s">
        <v>18</v>
      </c>
      <c r="F154" s="6" t="s">
        <v>12</v>
      </c>
      <c r="G154" s="77">
        <f>1746.15099+350</f>
        <v>2096.1509900000001</v>
      </c>
      <c r="H154" s="77">
        <f>1746.15099+350</f>
        <v>2096.1509900000001</v>
      </c>
    </row>
    <row r="155" spans="1:10" s="26" customFormat="1" ht="27">
      <c r="A155" s="27" t="s">
        <v>231</v>
      </c>
      <c r="B155" s="7" t="s">
        <v>237</v>
      </c>
      <c r="C155" s="7"/>
      <c r="D155" s="7" t="s">
        <v>3</v>
      </c>
      <c r="E155" s="7" t="s">
        <v>13</v>
      </c>
      <c r="F155" s="7" t="s">
        <v>13</v>
      </c>
      <c r="G155" s="74">
        <f t="shared" ref="G155:H157" si="5">G156</f>
        <v>1529.7</v>
      </c>
      <c r="H155" s="75">
        <f t="shared" si="5"/>
        <v>1529.7</v>
      </c>
    </row>
    <row r="156" spans="1:10" s="26" customFormat="1" ht="38.25">
      <c r="A156" s="17" t="s">
        <v>314</v>
      </c>
      <c r="B156" s="4" t="s">
        <v>238</v>
      </c>
      <c r="C156" s="4"/>
      <c r="D156" s="4" t="s">
        <v>3</v>
      </c>
      <c r="E156" s="4" t="s">
        <v>13</v>
      </c>
      <c r="F156" s="4" t="s">
        <v>13</v>
      </c>
      <c r="G156" s="73">
        <f t="shared" si="5"/>
        <v>1529.7</v>
      </c>
      <c r="H156" s="73">
        <f t="shared" si="5"/>
        <v>1529.7</v>
      </c>
    </row>
    <row r="157" spans="1:10" s="26" customFormat="1" ht="38.25">
      <c r="A157" s="17" t="s">
        <v>190</v>
      </c>
      <c r="B157" s="4" t="s">
        <v>245</v>
      </c>
      <c r="C157" s="4"/>
      <c r="D157" s="4" t="s">
        <v>3</v>
      </c>
      <c r="E157" s="4" t="s">
        <v>13</v>
      </c>
      <c r="F157" s="4" t="s">
        <v>13</v>
      </c>
      <c r="G157" s="72">
        <f t="shared" si="5"/>
        <v>1529.7</v>
      </c>
      <c r="H157" s="72">
        <f t="shared" si="5"/>
        <v>1529.7</v>
      </c>
    </row>
    <row r="158" spans="1:10" s="26" customFormat="1" ht="51">
      <c r="A158" s="11" t="s">
        <v>41</v>
      </c>
      <c r="B158" s="6" t="s">
        <v>245</v>
      </c>
      <c r="C158" s="6" t="s">
        <v>44</v>
      </c>
      <c r="D158" s="6" t="s">
        <v>3</v>
      </c>
      <c r="E158" s="6" t="s">
        <v>13</v>
      </c>
      <c r="F158" s="6" t="s">
        <v>13</v>
      </c>
      <c r="G158" s="72">
        <v>1529.7</v>
      </c>
      <c r="H158" s="72">
        <v>1529.7</v>
      </c>
    </row>
    <row r="159" spans="1:10" s="26" customFormat="1" ht="25.5">
      <c r="A159" s="66" t="s">
        <v>389</v>
      </c>
      <c r="B159" s="62" t="s">
        <v>113</v>
      </c>
      <c r="C159" s="62"/>
      <c r="D159" s="62" t="s">
        <v>57</v>
      </c>
      <c r="E159" s="62" t="s">
        <v>13</v>
      </c>
      <c r="F159" s="62" t="s">
        <v>10</v>
      </c>
      <c r="G159" s="63">
        <f>G160+G170+G200+G208+G220+G237</f>
        <v>896571.26900000009</v>
      </c>
      <c r="H159" s="63">
        <f>H160+H170+H200+H208+H220+H237</f>
        <v>861699.36800000013</v>
      </c>
      <c r="I159" s="71" t="e">
        <f>G132+G96+G102+#REF!+G108+G133+G138+G154</f>
        <v>#REF!</v>
      </c>
      <c r="J159" s="71" t="e">
        <f>H96+H102+#REF!+H108+H132+H133+H138+H154</f>
        <v>#REF!</v>
      </c>
    </row>
    <row r="160" spans="1:10" s="26" customFormat="1" ht="27">
      <c r="A160" s="22" t="s">
        <v>218</v>
      </c>
      <c r="B160" s="7" t="s">
        <v>114</v>
      </c>
      <c r="C160" s="7"/>
      <c r="D160" s="7" t="s">
        <v>57</v>
      </c>
      <c r="E160" s="7" t="s">
        <v>13</v>
      </c>
      <c r="F160" s="7" t="s">
        <v>10</v>
      </c>
      <c r="G160" s="28">
        <f>G161</f>
        <v>236056.80000000002</v>
      </c>
      <c r="H160" s="28">
        <f>H161</f>
        <v>220324.7</v>
      </c>
    </row>
    <row r="161" spans="1:10" s="26" customFormat="1" ht="38.25">
      <c r="A161" s="21" t="s">
        <v>115</v>
      </c>
      <c r="B161" s="4" t="s">
        <v>116</v>
      </c>
      <c r="C161" s="4"/>
      <c r="D161" s="4">
        <v>969</v>
      </c>
      <c r="E161" s="4" t="s">
        <v>13</v>
      </c>
      <c r="F161" s="4" t="s">
        <v>10</v>
      </c>
      <c r="G161" s="5">
        <f>G162+G166+G164+G168</f>
        <v>236056.80000000002</v>
      </c>
      <c r="H161" s="5">
        <f>H162+H166+H164+H168</f>
        <v>220324.7</v>
      </c>
      <c r="I161" s="71">
        <f>G159-105.6+1800</f>
        <v>898265.66900000011</v>
      </c>
      <c r="J161" s="71">
        <f>H159-105.6+1800</f>
        <v>863393.76800000016</v>
      </c>
    </row>
    <row r="162" spans="1:10" s="26" customFormat="1" ht="25.5">
      <c r="A162" s="16" t="s">
        <v>61</v>
      </c>
      <c r="B162" s="4" t="s">
        <v>119</v>
      </c>
      <c r="C162" s="4"/>
      <c r="D162" s="4">
        <v>969</v>
      </c>
      <c r="E162" s="4" t="s">
        <v>13</v>
      </c>
      <c r="F162" s="4" t="s">
        <v>10</v>
      </c>
      <c r="G162" s="5">
        <f>G163</f>
        <v>131777.20000000001</v>
      </c>
      <c r="H162" s="5">
        <f>H163</f>
        <v>131045.1</v>
      </c>
    </row>
    <row r="163" spans="1:10" s="49" customFormat="1" ht="51">
      <c r="A163" s="39" t="s">
        <v>40</v>
      </c>
      <c r="B163" s="6" t="s">
        <v>119</v>
      </c>
      <c r="C163" s="6" t="s">
        <v>45</v>
      </c>
      <c r="D163" s="6">
        <v>969</v>
      </c>
      <c r="E163" s="6" t="s">
        <v>13</v>
      </c>
      <c r="F163" s="6" t="s">
        <v>10</v>
      </c>
      <c r="G163" s="72">
        <v>131777.20000000001</v>
      </c>
      <c r="H163" s="72">
        <v>131045.1</v>
      </c>
    </row>
    <row r="164" spans="1:10" s="49" customFormat="1" ht="38.25">
      <c r="A164" s="21" t="s">
        <v>289</v>
      </c>
      <c r="B164" s="4" t="s">
        <v>290</v>
      </c>
      <c r="C164" s="6"/>
      <c r="D164" s="6" t="s">
        <v>57</v>
      </c>
      <c r="E164" s="4" t="s">
        <v>13</v>
      </c>
      <c r="F164" s="4" t="s">
        <v>10</v>
      </c>
      <c r="G164" s="5">
        <f>G165</f>
        <v>563</v>
      </c>
      <c r="H164" s="5">
        <f>H165</f>
        <v>563</v>
      </c>
    </row>
    <row r="165" spans="1:10" s="49" customFormat="1" ht="51">
      <c r="A165" s="39" t="s">
        <v>40</v>
      </c>
      <c r="B165" s="6" t="s">
        <v>290</v>
      </c>
      <c r="C165" s="6" t="s">
        <v>45</v>
      </c>
      <c r="D165" s="6" t="s">
        <v>57</v>
      </c>
      <c r="E165" s="6" t="s">
        <v>13</v>
      </c>
      <c r="F165" s="6" t="s">
        <v>10</v>
      </c>
      <c r="G165" s="72">
        <f>563</f>
        <v>563</v>
      </c>
      <c r="H165" s="72">
        <v>563</v>
      </c>
    </row>
    <row r="166" spans="1:10" s="26" customFormat="1" ht="25.5">
      <c r="A166" s="21" t="s">
        <v>117</v>
      </c>
      <c r="B166" s="4" t="s">
        <v>118</v>
      </c>
      <c r="C166" s="4"/>
      <c r="D166" s="4">
        <v>969</v>
      </c>
      <c r="E166" s="4" t="s">
        <v>13</v>
      </c>
      <c r="F166" s="4" t="s">
        <v>10</v>
      </c>
      <c r="G166" s="5">
        <f>G167</f>
        <v>22258.6</v>
      </c>
      <c r="H166" s="5">
        <f>H167</f>
        <v>7258.6</v>
      </c>
    </row>
    <row r="167" spans="1:10" ht="51">
      <c r="A167" s="39" t="s">
        <v>40</v>
      </c>
      <c r="B167" s="6" t="s">
        <v>118</v>
      </c>
      <c r="C167" s="6" t="s">
        <v>45</v>
      </c>
      <c r="D167" s="6">
        <v>969</v>
      </c>
      <c r="E167" s="6" t="s">
        <v>13</v>
      </c>
      <c r="F167" s="6" t="s">
        <v>10</v>
      </c>
      <c r="G167" s="72">
        <v>22258.6</v>
      </c>
      <c r="H167" s="72">
        <v>7258.6</v>
      </c>
    </row>
    <row r="168" spans="1:10" ht="25.5">
      <c r="A168" s="21" t="s">
        <v>308</v>
      </c>
      <c r="B168" s="4" t="s">
        <v>309</v>
      </c>
      <c r="C168" s="4"/>
      <c r="D168" s="4">
        <v>969</v>
      </c>
      <c r="E168" s="4" t="s">
        <v>13</v>
      </c>
      <c r="F168" s="4" t="s">
        <v>10</v>
      </c>
      <c r="G168" s="73">
        <f>G169</f>
        <v>81458</v>
      </c>
      <c r="H168" s="73">
        <f>H169</f>
        <v>81458</v>
      </c>
    </row>
    <row r="169" spans="1:10" ht="51">
      <c r="A169" s="39" t="s">
        <v>40</v>
      </c>
      <c r="B169" s="6" t="s">
        <v>309</v>
      </c>
      <c r="C169" s="6" t="s">
        <v>45</v>
      </c>
      <c r="D169" s="6">
        <v>969</v>
      </c>
      <c r="E169" s="6" t="s">
        <v>13</v>
      </c>
      <c r="F169" s="6" t="s">
        <v>10</v>
      </c>
      <c r="G169" s="72">
        <v>81458</v>
      </c>
      <c r="H169" s="72">
        <v>81458</v>
      </c>
    </row>
    <row r="170" spans="1:10" ht="27">
      <c r="A170" s="22" t="s">
        <v>219</v>
      </c>
      <c r="B170" s="7" t="s">
        <v>120</v>
      </c>
      <c r="C170" s="7"/>
      <c r="D170" s="7">
        <v>969</v>
      </c>
      <c r="E170" s="7" t="s">
        <v>13</v>
      </c>
      <c r="F170" s="7" t="s">
        <v>11</v>
      </c>
      <c r="G170" s="28">
        <f>G171+G197+G194</f>
        <v>514283.34000000014</v>
      </c>
      <c r="H170" s="28">
        <f>H171+H197+H194</f>
        <v>495145.63900000014</v>
      </c>
    </row>
    <row r="171" spans="1:10" ht="25.5">
      <c r="A171" s="21" t="s">
        <v>126</v>
      </c>
      <c r="B171" s="4" t="s">
        <v>122</v>
      </c>
      <c r="C171" s="4"/>
      <c r="D171" s="4" t="s">
        <v>57</v>
      </c>
      <c r="E171" s="4" t="s">
        <v>13</v>
      </c>
      <c r="F171" s="4" t="s">
        <v>11</v>
      </c>
      <c r="G171" s="5">
        <f>G174+G176+G178+G180+G182+G190+G184+G186+G192+G172+G188</f>
        <v>505312.14000000013</v>
      </c>
      <c r="H171" s="5">
        <f>H174+H176+H178+H180+H182+H190+H184+H186+H192+H172+H188</f>
        <v>494890.43900000013</v>
      </c>
    </row>
    <row r="172" spans="1:10" ht="51">
      <c r="A172" s="21" t="s">
        <v>312</v>
      </c>
      <c r="B172" s="4" t="s">
        <v>313</v>
      </c>
      <c r="C172" s="4"/>
      <c r="D172" s="4" t="s">
        <v>57</v>
      </c>
      <c r="E172" s="4" t="s">
        <v>13</v>
      </c>
      <c r="F172" s="4" t="s">
        <v>11</v>
      </c>
      <c r="G172" s="73">
        <f>G173</f>
        <v>31012</v>
      </c>
      <c r="H172" s="73">
        <f>H173</f>
        <v>31012</v>
      </c>
    </row>
    <row r="173" spans="1:10">
      <c r="A173" s="10" t="s">
        <v>42</v>
      </c>
      <c r="B173" s="6" t="s">
        <v>313</v>
      </c>
      <c r="C173" s="6" t="s">
        <v>43</v>
      </c>
      <c r="D173" s="6">
        <v>969</v>
      </c>
      <c r="E173" s="6" t="s">
        <v>13</v>
      </c>
      <c r="F173" s="6" t="s">
        <v>11</v>
      </c>
      <c r="G173" s="72">
        <v>31012</v>
      </c>
      <c r="H173" s="72">
        <v>31012</v>
      </c>
    </row>
    <row r="174" spans="1:10" ht="63.75">
      <c r="A174" s="17" t="s">
        <v>64</v>
      </c>
      <c r="B174" s="4" t="s">
        <v>127</v>
      </c>
      <c r="C174" s="4"/>
      <c r="D174" s="4" t="s">
        <v>57</v>
      </c>
      <c r="E174" s="4" t="s">
        <v>13</v>
      </c>
      <c r="F174" s="4" t="s">
        <v>11</v>
      </c>
      <c r="G174" s="5">
        <f>G175</f>
        <v>266218.90000000002</v>
      </c>
      <c r="H174" s="5">
        <f>H175</f>
        <v>266218.90000000002</v>
      </c>
    </row>
    <row r="175" spans="1:10" ht="51">
      <c r="A175" s="18" t="s">
        <v>40</v>
      </c>
      <c r="B175" s="6" t="s">
        <v>128</v>
      </c>
      <c r="C175" s="6" t="s">
        <v>45</v>
      </c>
      <c r="D175" s="6">
        <v>969</v>
      </c>
      <c r="E175" s="6" t="s">
        <v>13</v>
      </c>
      <c r="F175" s="6" t="s">
        <v>11</v>
      </c>
      <c r="G175" s="72">
        <v>266218.90000000002</v>
      </c>
      <c r="H175" s="72">
        <v>266218.90000000002</v>
      </c>
    </row>
    <row r="176" spans="1:10" s="25" customFormat="1" ht="25.5">
      <c r="A176" s="17" t="s">
        <v>63</v>
      </c>
      <c r="B176" s="4" t="s">
        <v>129</v>
      </c>
      <c r="C176" s="4"/>
      <c r="D176" s="4" t="s">
        <v>57</v>
      </c>
      <c r="E176" s="4" t="s">
        <v>13</v>
      </c>
      <c r="F176" s="4" t="s">
        <v>11</v>
      </c>
      <c r="G176" s="5">
        <f>G177</f>
        <v>5608.9</v>
      </c>
      <c r="H176" s="5">
        <f>H177</f>
        <v>5468</v>
      </c>
    </row>
    <row r="177" spans="1:8">
      <c r="A177" s="10" t="s">
        <v>42</v>
      </c>
      <c r="B177" s="6" t="s">
        <v>129</v>
      </c>
      <c r="C177" s="6" t="s">
        <v>43</v>
      </c>
      <c r="D177" s="6" t="s">
        <v>57</v>
      </c>
      <c r="E177" s="6" t="s">
        <v>13</v>
      </c>
      <c r="F177" s="6" t="s">
        <v>11</v>
      </c>
      <c r="G177" s="72">
        <v>5608.9</v>
      </c>
      <c r="H177" s="72">
        <v>5468</v>
      </c>
    </row>
    <row r="178" spans="1:8" ht="38.25">
      <c r="A178" s="39" t="s">
        <v>123</v>
      </c>
      <c r="B178" s="4" t="s">
        <v>124</v>
      </c>
      <c r="C178" s="4"/>
      <c r="D178" s="4" t="s">
        <v>57</v>
      </c>
      <c r="E178" s="4" t="s">
        <v>13</v>
      </c>
      <c r="F178" s="4" t="s">
        <v>11</v>
      </c>
      <c r="G178" s="5">
        <f>G179</f>
        <v>20568.672999999999</v>
      </c>
      <c r="H178" s="5">
        <f>H179</f>
        <v>10143.672</v>
      </c>
    </row>
    <row r="179" spans="1:8" ht="51">
      <c r="A179" s="18" t="s">
        <v>40</v>
      </c>
      <c r="B179" s="6" t="s">
        <v>125</v>
      </c>
      <c r="C179" s="6" t="s">
        <v>45</v>
      </c>
      <c r="D179" s="6">
        <v>969</v>
      </c>
      <c r="E179" s="6" t="s">
        <v>13</v>
      </c>
      <c r="F179" s="6" t="s">
        <v>11</v>
      </c>
      <c r="G179" s="72">
        <v>20568.672999999999</v>
      </c>
      <c r="H179" s="72">
        <v>10143.672</v>
      </c>
    </row>
    <row r="180" spans="1:8" ht="51">
      <c r="A180" s="13" t="s">
        <v>179</v>
      </c>
      <c r="B180" s="4" t="s">
        <v>178</v>
      </c>
      <c r="C180" s="4"/>
      <c r="D180" s="4">
        <v>969</v>
      </c>
      <c r="E180" s="4" t="s">
        <v>13</v>
      </c>
      <c r="F180" s="4" t="s">
        <v>11</v>
      </c>
      <c r="G180" s="5">
        <f>G181</f>
        <v>28745.3</v>
      </c>
      <c r="H180" s="5">
        <f>H181</f>
        <v>28565.8</v>
      </c>
    </row>
    <row r="181" spans="1:8">
      <c r="A181" s="10" t="s">
        <v>42</v>
      </c>
      <c r="B181" s="6" t="s">
        <v>178</v>
      </c>
      <c r="C181" s="6" t="s">
        <v>43</v>
      </c>
      <c r="D181" s="6">
        <v>969</v>
      </c>
      <c r="E181" s="6" t="s">
        <v>13</v>
      </c>
      <c r="F181" s="6" t="s">
        <v>11</v>
      </c>
      <c r="G181" s="72">
        <f>28457.8+287.5</f>
        <v>28745.3</v>
      </c>
      <c r="H181" s="72">
        <f>28280.1+285.7</f>
        <v>28565.8</v>
      </c>
    </row>
    <row r="182" spans="1:8" ht="38.25">
      <c r="A182" s="13" t="s">
        <v>298</v>
      </c>
      <c r="B182" s="4" t="s">
        <v>180</v>
      </c>
      <c r="C182" s="4"/>
      <c r="D182" s="4" t="s">
        <v>57</v>
      </c>
      <c r="E182" s="4" t="s">
        <v>13</v>
      </c>
      <c r="F182" s="4" t="s">
        <v>11</v>
      </c>
      <c r="G182" s="5">
        <f>G183</f>
        <v>24506.2</v>
      </c>
      <c r="H182" s="5">
        <f>H183</f>
        <v>24830.400000000001</v>
      </c>
    </row>
    <row r="183" spans="1:8">
      <c r="A183" s="10" t="s">
        <v>42</v>
      </c>
      <c r="B183" s="6" t="s">
        <v>180</v>
      </c>
      <c r="C183" s="6" t="s">
        <v>43</v>
      </c>
      <c r="D183" s="6" t="s">
        <v>57</v>
      </c>
      <c r="E183" s="6" t="s">
        <v>13</v>
      </c>
      <c r="F183" s="6" t="s">
        <v>11</v>
      </c>
      <c r="G183" s="72">
        <f>12253.1+12253.1</f>
        <v>24506.2</v>
      </c>
      <c r="H183" s="72">
        <f>12415.2+12415.2</f>
        <v>24830.400000000001</v>
      </c>
    </row>
    <row r="184" spans="1:8" s="25" customFormat="1" ht="51" customHeight="1">
      <c r="A184" s="21" t="s">
        <v>300</v>
      </c>
      <c r="B184" s="4" t="s">
        <v>215</v>
      </c>
      <c r="C184" s="4"/>
      <c r="D184" s="4" t="s">
        <v>57</v>
      </c>
      <c r="E184" s="4" t="s">
        <v>13</v>
      </c>
      <c r="F184" s="4" t="s">
        <v>11</v>
      </c>
      <c r="G184" s="5">
        <f>G185</f>
        <v>122150.8</v>
      </c>
      <c r="H184" s="5">
        <f>H185</f>
        <v>122150.8</v>
      </c>
    </row>
    <row r="185" spans="1:8" ht="51">
      <c r="A185" s="18" t="s">
        <v>40</v>
      </c>
      <c r="B185" s="6" t="s">
        <v>215</v>
      </c>
      <c r="C185" s="6" t="s">
        <v>45</v>
      </c>
      <c r="D185" s="6">
        <v>969</v>
      </c>
      <c r="E185" s="6" t="s">
        <v>13</v>
      </c>
      <c r="F185" s="6" t="s">
        <v>11</v>
      </c>
      <c r="G185" s="72">
        <v>122150.8</v>
      </c>
      <c r="H185" s="72">
        <v>122150.8</v>
      </c>
    </row>
    <row r="186" spans="1:8" s="25" customFormat="1" ht="63.75">
      <c r="A186" s="13" t="s">
        <v>299</v>
      </c>
      <c r="B186" s="4" t="s">
        <v>280</v>
      </c>
      <c r="C186" s="4"/>
      <c r="D186" s="4" t="s">
        <v>57</v>
      </c>
      <c r="E186" s="4" t="s">
        <v>13</v>
      </c>
      <c r="F186" s="4" t="s">
        <v>11</v>
      </c>
      <c r="G186" s="5">
        <f>G187</f>
        <v>8.6999999999999993</v>
      </c>
      <c r="H186" s="5">
        <f>H187</f>
        <v>8.1999999999999993</v>
      </c>
    </row>
    <row r="187" spans="1:8">
      <c r="A187" s="10" t="s">
        <v>42</v>
      </c>
      <c r="B187" s="6" t="s">
        <v>280</v>
      </c>
      <c r="C187" s="6" t="s">
        <v>43</v>
      </c>
      <c r="D187" s="6" t="s">
        <v>57</v>
      </c>
      <c r="E187" s="6" t="s">
        <v>13</v>
      </c>
      <c r="F187" s="6" t="s">
        <v>11</v>
      </c>
      <c r="G187" s="72">
        <v>8.6999999999999993</v>
      </c>
      <c r="H187" s="72">
        <v>8.1999999999999993</v>
      </c>
    </row>
    <row r="188" spans="1:8" s="25" customFormat="1" ht="102">
      <c r="A188" s="13" t="s">
        <v>361</v>
      </c>
      <c r="B188" s="4" t="s">
        <v>362</v>
      </c>
      <c r="C188" s="4"/>
      <c r="D188" s="4" t="s">
        <v>57</v>
      </c>
      <c r="E188" s="4" t="s">
        <v>13</v>
      </c>
      <c r="F188" s="4" t="s">
        <v>11</v>
      </c>
      <c r="G188" s="5">
        <f>G189</f>
        <v>1408.367</v>
      </c>
      <c r="H188" s="5">
        <f>H189</f>
        <v>1408.367</v>
      </c>
    </row>
    <row r="189" spans="1:8">
      <c r="A189" s="10" t="s">
        <v>42</v>
      </c>
      <c r="B189" s="6" t="s">
        <v>362</v>
      </c>
      <c r="C189" s="6" t="s">
        <v>43</v>
      </c>
      <c r="D189" s="6" t="s">
        <v>57</v>
      </c>
      <c r="E189" s="6" t="s">
        <v>13</v>
      </c>
      <c r="F189" s="6" t="s">
        <v>11</v>
      </c>
      <c r="G189" s="72">
        <v>1408.367</v>
      </c>
      <c r="H189" s="72">
        <v>1408.367</v>
      </c>
    </row>
    <row r="190" spans="1:8" s="25" customFormat="1" ht="38.25">
      <c r="A190" s="17" t="s">
        <v>268</v>
      </c>
      <c r="B190" s="4" t="s">
        <v>8</v>
      </c>
      <c r="C190" s="4"/>
      <c r="D190" s="4" t="s">
        <v>57</v>
      </c>
      <c r="E190" s="4" t="s">
        <v>13</v>
      </c>
      <c r="F190" s="4" t="s">
        <v>14</v>
      </c>
      <c r="G190" s="5">
        <f>G191</f>
        <v>393.9</v>
      </c>
      <c r="H190" s="5">
        <f>H191</f>
        <v>393.9</v>
      </c>
    </row>
    <row r="191" spans="1:8" s="25" customFormat="1">
      <c r="A191" s="18" t="s">
        <v>42</v>
      </c>
      <c r="B191" s="6" t="s">
        <v>8</v>
      </c>
      <c r="C191" s="6" t="s">
        <v>43</v>
      </c>
      <c r="D191" s="6" t="s">
        <v>57</v>
      </c>
      <c r="E191" s="6" t="s">
        <v>13</v>
      </c>
      <c r="F191" s="6" t="s">
        <v>14</v>
      </c>
      <c r="G191" s="72">
        <f>386+7.9</f>
        <v>393.9</v>
      </c>
      <c r="H191" s="72">
        <f>386+7.9</f>
        <v>393.9</v>
      </c>
    </row>
    <row r="192" spans="1:8" s="25" customFormat="1" ht="51">
      <c r="A192" s="84" t="s">
        <v>306</v>
      </c>
      <c r="B192" s="82" t="s">
        <v>307</v>
      </c>
      <c r="C192" s="82"/>
      <c r="D192" s="4" t="s">
        <v>57</v>
      </c>
      <c r="E192" s="82" t="s">
        <v>13</v>
      </c>
      <c r="F192" s="82" t="s">
        <v>11</v>
      </c>
      <c r="G192" s="73">
        <f>G193</f>
        <v>4690.3999999999996</v>
      </c>
      <c r="H192" s="73">
        <f>H193</f>
        <v>4690.3999999999996</v>
      </c>
    </row>
    <row r="193" spans="1:9" s="25" customFormat="1" ht="51">
      <c r="A193" s="18" t="s">
        <v>40</v>
      </c>
      <c r="B193" s="80" t="s">
        <v>307</v>
      </c>
      <c r="C193" s="80" t="s">
        <v>45</v>
      </c>
      <c r="D193" s="6" t="s">
        <v>57</v>
      </c>
      <c r="E193" s="80" t="s">
        <v>13</v>
      </c>
      <c r="F193" s="80" t="s">
        <v>11</v>
      </c>
      <c r="G193" s="72">
        <v>4690.3999999999996</v>
      </c>
      <c r="H193" s="72">
        <v>4690.3999999999996</v>
      </c>
    </row>
    <row r="194" spans="1:9" s="25" customFormat="1" ht="38.25">
      <c r="A194" s="17" t="s">
        <v>294</v>
      </c>
      <c r="B194" s="4" t="s">
        <v>296</v>
      </c>
      <c r="C194" s="4"/>
      <c r="D194" s="4">
        <v>969</v>
      </c>
      <c r="E194" s="4" t="s">
        <v>13</v>
      </c>
      <c r="F194" s="4" t="s">
        <v>11</v>
      </c>
      <c r="G194" s="5">
        <f>G195</f>
        <v>255.2</v>
      </c>
      <c r="H194" s="5">
        <f>H195</f>
        <v>255.2</v>
      </c>
    </row>
    <row r="195" spans="1:9" s="25" customFormat="1" ht="25.5">
      <c r="A195" s="17" t="s">
        <v>295</v>
      </c>
      <c r="B195" s="4" t="s">
        <v>297</v>
      </c>
      <c r="C195" s="4"/>
      <c r="D195" s="4">
        <v>969</v>
      </c>
      <c r="E195" s="4" t="s">
        <v>13</v>
      </c>
      <c r="F195" s="4" t="s">
        <v>11</v>
      </c>
      <c r="G195" s="5">
        <f>G196</f>
        <v>255.2</v>
      </c>
      <c r="H195" s="5">
        <f>H196</f>
        <v>255.2</v>
      </c>
    </row>
    <row r="196" spans="1:9" s="25" customFormat="1">
      <c r="A196" s="23" t="s">
        <v>42</v>
      </c>
      <c r="B196" s="6" t="s">
        <v>297</v>
      </c>
      <c r="C196" s="6" t="s">
        <v>43</v>
      </c>
      <c r="D196" s="6">
        <v>969</v>
      </c>
      <c r="E196" s="6" t="s">
        <v>13</v>
      </c>
      <c r="F196" s="6" t="s">
        <v>11</v>
      </c>
      <c r="G196" s="15">
        <v>255.2</v>
      </c>
      <c r="H196" s="15">
        <v>255.2</v>
      </c>
    </row>
    <row r="197" spans="1:9" ht="34.5" customHeight="1">
      <c r="A197" s="20" t="s">
        <v>242</v>
      </c>
      <c r="B197" s="4" t="s">
        <v>243</v>
      </c>
      <c r="C197" s="6"/>
      <c r="D197" s="6" t="s">
        <v>57</v>
      </c>
      <c r="E197" s="4" t="s">
        <v>13</v>
      </c>
      <c r="F197" s="4" t="s">
        <v>11</v>
      </c>
      <c r="G197" s="15">
        <f>G198</f>
        <v>8716</v>
      </c>
      <c r="H197" s="15">
        <f>H198</f>
        <v>0</v>
      </c>
    </row>
    <row r="198" spans="1:9" ht="63.75">
      <c r="A198" s="21" t="s">
        <v>69</v>
      </c>
      <c r="B198" s="4" t="s">
        <v>244</v>
      </c>
      <c r="C198" s="4"/>
      <c r="D198" s="4" t="s">
        <v>57</v>
      </c>
      <c r="E198" s="4" t="s">
        <v>13</v>
      </c>
      <c r="F198" s="4" t="s">
        <v>11</v>
      </c>
      <c r="G198" s="5">
        <f>G199</f>
        <v>8716</v>
      </c>
      <c r="H198" s="5">
        <f>H199</f>
        <v>0</v>
      </c>
    </row>
    <row r="199" spans="1:9">
      <c r="A199" s="10" t="s">
        <v>42</v>
      </c>
      <c r="B199" s="6" t="s">
        <v>244</v>
      </c>
      <c r="C199" s="6" t="s">
        <v>43</v>
      </c>
      <c r="D199" s="6" t="s">
        <v>57</v>
      </c>
      <c r="E199" s="6" t="s">
        <v>13</v>
      </c>
      <c r="F199" s="6" t="s">
        <v>11</v>
      </c>
      <c r="G199" s="72">
        <f>8280+436</f>
        <v>8716</v>
      </c>
      <c r="H199" s="72">
        <v>0</v>
      </c>
    </row>
    <row r="200" spans="1:9" s="25" customFormat="1" ht="27">
      <c r="A200" s="22" t="s">
        <v>220</v>
      </c>
      <c r="B200" s="7" t="s">
        <v>130</v>
      </c>
      <c r="C200" s="7"/>
      <c r="D200" s="7">
        <v>969</v>
      </c>
      <c r="E200" s="7" t="s">
        <v>13</v>
      </c>
      <c r="F200" s="7" t="s">
        <v>24</v>
      </c>
      <c r="G200" s="28">
        <f>G201</f>
        <v>84818.4</v>
      </c>
      <c r="H200" s="28">
        <f>H201</f>
        <v>84818.4</v>
      </c>
      <c r="I200" s="38"/>
    </row>
    <row r="201" spans="1:9" ht="38.25">
      <c r="A201" s="21" t="s">
        <v>121</v>
      </c>
      <c r="B201" s="4" t="s">
        <v>131</v>
      </c>
      <c r="C201" s="4"/>
      <c r="D201" s="4" t="s">
        <v>57</v>
      </c>
      <c r="E201" s="4" t="s">
        <v>13</v>
      </c>
      <c r="F201" s="4" t="s">
        <v>24</v>
      </c>
      <c r="G201" s="5">
        <f>G202+G205</f>
        <v>84818.4</v>
      </c>
      <c r="H201" s="5">
        <f>H202+H205</f>
        <v>84818.4</v>
      </c>
      <c r="I201" s="9"/>
    </row>
    <row r="202" spans="1:9" ht="38.25">
      <c r="A202" s="21" t="s">
        <v>132</v>
      </c>
      <c r="B202" s="4" t="s">
        <v>133</v>
      </c>
      <c r="C202" s="4"/>
      <c r="D202" s="4" t="s">
        <v>57</v>
      </c>
      <c r="E202" s="4" t="s">
        <v>13</v>
      </c>
      <c r="F202" s="4" t="s">
        <v>24</v>
      </c>
      <c r="G202" s="5">
        <f>G203+G204</f>
        <v>856.5</v>
      </c>
      <c r="H202" s="5">
        <f>H203+H204</f>
        <v>856.5</v>
      </c>
    </row>
    <row r="203" spans="1:9" ht="51">
      <c r="A203" s="18" t="s">
        <v>40</v>
      </c>
      <c r="B203" s="6" t="s">
        <v>133</v>
      </c>
      <c r="C203" s="6" t="s">
        <v>45</v>
      </c>
      <c r="D203" s="6">
        <v>969</v>
      </c>
      <c r="E203" s="6" t="s">
        <v>13</v>
      </c>
      <c r="F203" s="6" t="s">
        <v>24</v>
      </c>
      <c r="G203" s="15">
        <v>282</v>
      </c>
      <c r="H203" s="15">
        <v>282</v>
      </c>
    </row>
    <row r="204" spans="1:9" ht="51">
      <c r="A204" s="10" t="s">
        <v>41</v>
      </c>
      <c r="B204" s="6" t="s">
        <v>133</v>
      </c>
      <c r="C204" s="6" t="s">
        <v>44</v>
      </c>
      <c r="D204" s="6">
        <v>969</v>
      </c>
      <c r="E204" s="6" t="s">
        <v>13</v>
      </c>
      <c r="F204" s="6" t="s">
        <v>24</v>
      </c>
      <c r="G204" s="15">
        <v>574.5</v>
      </c>
      <c r="H204" s="15">
        <v>574.5</v>
      </c>
    </row>
    <row r="205" spans="1:9" ht="38.25">
      <c r="A205" s="13" t="s">
        <v>65</v>
      </c>
      <c r="B205" s="4" t="s">
        <v>201</v>
      </c>
      <c r="C205" s="4"/>
      <c r="D205" s="4">
        <v>969</v>
      </c>
      <c r="E205" s="4" t="s">
        <v>13</v>
      </c>
      <c r="F205" s="4" t="s">
        <v>24</v>
      </c>
      <c r="G205" s="5">
        <f>G206+G207</f>
        <v>83961.9</v>
      </c>
      <c r="H205" s="5">
        <f>H206+H207</f>
        <v>83961.9</v>
      </c>
    </row>
    <row r="206" spans="1:9" ht="51">
      <c r="A206" s="18" t="s">
        <v>40</v>
      </c>
      <c r="B206" s="6" t="s">
        <v>201</v>
      </c>
      <c r="C206" s="6" t="s">
        <v>45</v>
      </c>
      <c r="D206" s="6">
        <v>969</v>
      </c>
      <c r="E206" s="6" t="s">
        <v>13</v>
      </c>
      <c r="F206" s="6" t="s">
        <v>24</v>
      </c>
      <c r="G206" s="72">
        <f>10159.152+12776.8</f>
        <v>22935.951999999997</v>
      </c>
      <c r="H206" s="72">
        <f>10159.152+12776.8</f>
        <v>22935.951999999997</v>
      </c>
    </row>
    <row r="207" spans="1:9" s="25" customFormat="1" ht="37.5" customHeight="1">
      <c r="A207" s="10" t="s">
        <v>41</v>
      </c>
      <c r="B207" s="6" t="s">
        <v>201</v>
      </c>
      <c r="C207" s="6" t="s">
        <v>44</v>
      </c>
      <c r="D207" s="6">
        <v>969</v>
      </c>
      <c r="E207" s="6" t="s">
        <v>13</v>
      </c>
      <c r="F207" s="6" t="s">
        <v>24</v>
      </c>
      <c r="G207" s="72">
        <f>32170.648+27897.8+957.5</f>
        <v>61025.948000000004</v>
      </c>
      <c r="H207" s="72">
        <f>32170.648+27897.8+957.5</f>
        <v>61025.948000000004</v>
      </c>
    </row>
    <row r="208" spans="1:9" ht="13.5">
      <c r="A208" s="22" t="s">
        <v>221</v>
      </c>
      <c r="B208" s="7" t="s">
        <v>134</v>
      </c>
      <c r="C208" s="7"/>
      <c r="D208" s="7">
        <v>969</v>
      </c>
      <c r="E208" s="7" t="s">
        <v>13</v>
      </c>
      <c r="F208" s="7" t="s">
        <v>13</v>
      </c>
      <c r="G208" s="28">
        <f>G209</f>
        <v>11094.428999999998</v>
      </c>
      <c r="H208" s="28">
        <f>H209</f>
        <v>11094.428999999998</v>
      </c>
    </row>
    <row r="209" spans="1:10" ht="25.5">
      <c r="A209" s="21" t="s">
        <v>135</v>
      </c>
      <c r="B209" s="4" t="s">
        <v>136</v>
      </c>
      <c r="C209" s="8"/>
      <c r="D209" s="4" t="s">
        <v>57</v>
      </c>
      <c r="E209" s="4" t="s">
        <v>13</v>
      </c>
      <c r="F209" s="4" t="s">
        <v>13</v>
      </c>
      <c r="G209" s="5">
        <f>G210+G212+G214+G217</f>
        <v>11094.428999999998</v>
      </c>
      <c r="H209" s="5">
        <f>H210+H212+H214+H217</f>
        <v>11094.428999999998</v>
      </c>
    </row>
    <row r="210" spans="1:10" s="25" customFormat="1" ht="25.5">
      <c r="A210" s="17" t="s">
        <v>62</v>
      </c>
      <c r="B210" s="4" t="s">
        <v>137</v>
      </c>
      <c r="C210" s="4"/>
      <c r="D210" s="4" t="s">
        <v>57</v>
      </c>
      <c r="E210" s="4" t="s">
        <v>13</v>
      </c>
      <c r="F210" s="4" t="s">
        <v>13</v>
      </c>
      <c r="G210" s="5">
        <f>G211</f>
        <v>5352.5</v>
      </c>
      <c r="H210" s="5">
        <f>H211</f>
        <v>5352.5</v>
      </c>
    </row>
    <row r="211" spans="1:10" ht="25.5">
      <c r="A211" s="10" t="s">
        <v>247</v>
      </c>
      <c r="B211" s="6" t="s">
        <v>137</v>
      </c>
      <c r="C211" s="6" t="s">
        <v>248</v>
      </c>
      <c r="D211" s="6">
        <v>969</v>
      </c>
      <c r="E211" s="6" t="s">
        <v>13</v>
      </c>
      <c r="F211" s="6" t="s">
        <v>13</v>
      </c>
      <c r="G211" s="72">
        <v>5352.5</v>
      </c>
      <c r="H211" s="72">
        <v>5352.5</v>
      </c>
    </row>
    <row r="212" spans="1:10" ht="25.5">
      <c r="A212" s="13" t="s">
        <v>159</v>
      </c>
      <c r="B212" s="4" t="s">
        <v>138</v>
      </c>
      <c r="C212" s="4"/>
      <c r="D212" s="4">
        <v>969</v>
      </c>
      <c r="E212" s="4" t="s">
        <v>13</v>
      </c>
      <c r="F212" s="4" t="s">
        <v>13</v>
      </c>
      <c r="G212" s="5">
        <f>G213</f>
        <v>5577.96</v>
      </c>
      <c r="H212" s="5">
        <f>H213</f>
        <v>5577.96</v>
      </c>
    </row>
    <row r="213" spans="1:10" s="25" customFormat="1" ht="25.5">
      <c r="A213" s="10" t="s">
        <v>247</v>
      </c>
      <c r="B213" s="6" t="s">
        <v>138</v>
      </c>
      <c r="C213" s="6" t="s">
        <v>248</v>
      </c>
      <c r="D213" s="6">
        <v>969</v>
      </c>
      <c r="E213" s="6" t="s">
        <v>13</v>
      </c>
      <c r="F213" s="6" t="s">
        <v>13</v>
      </c>
      <c r="G213" s="72">
        <v>5577.96</v>
      </c>
      <c r="H213" s="72">
        <v>5577.96</v>
      </c>
    </row>
    <row r="214" spans="1:10" ht="38.25">
      <c r="A214" s="17" t="s">
        <v>160</v>
      </c>
      <c r="B214" s="4" t="s">
        <v>161</v>
      </c>
      <c r="C214" s="4"/>
      <c r="D214" s="4">
        <v>969</v>
      </c>
      <c r="E214" s="4" t="s">
        <v>13</v>
      </c>
      <c r="F214" s="4" t="s">
        <v>13</v>
      </c>
      <c r="G214" s="5">
        <f>G215+G216</f>
        <v>80.300000000000011</v>
      </c>
      <c r="H214" s="5">
        <f>H215+H216</f>
        <v>80.300000000000011</v>
      </c>
    </row>
    <row r="215" spans="1:10">
      <c r="A215" s="24" t="s">
        <v>155</v>
      </c>
      <c r="B215" s="6" t="s">
        <v>161</v>
      </c>
      <c r="C215" s="6" t="s">
        <v>52</v>
      </c>
      <c r="D215" s="6">
        <v>969</v>
      </c>
      <c r="E215" s="6" t="s">
        <v>13</v>
      </c>
      <c r="F215" s="6" t="s">
        <v>13</v>
      </c>
      <c r="G215" s="72">
        <v>61.7</v>
      </c>
      <c r="H215" s="72">
        <v>61.7</v>
      </c>
    </row>
    <row r="216" spans="1:10" s="25" customFormat="1" ht="38.25">
      <c r="A216" s="10" t="s">
        <v>152</v>
      </c>
      <c r="B216" s="6" t="s">
        <v>161</v>
      </c>
      <c r="C216" s="6" t="s">
        <v>83</v>
      </c>
      <c r="D216" s="6" t="s">
        <v>57</v>
      </c>
      <c r="E216" s="6" t="s">
        <v>13</v>
      </c>
      <c r="F216" s="6" t="s">
        <v>13</v>
      </c>
      <c r="G216" s="72">
        <v>18.600000000000001</v>
      </c>
      <c r="H216" s="72">
        <v>18.600000000000001</v>
      </c>
    </row>
    <row r="217" spans="1:10" ht="38.25">
      <c r="A217" s="13" t="s">
        <v>157</v>
      </c>
      <c r="B217" s="4" t="s">
        <v>156</v>
      </c>
      <c r="C217" s="4"/>
      <c r="D217" s="4">
        <v>969</v>
      </c>
      <c r="E217" s="4" t="s">
        <v>13</v>
      </c>
      <c r="F217" s="4" t="s">
        <v>15</v>
      </c>
      <c r="G217" s="5">
        <f>G218+G219</f>
        <v>83.668999999999997</v>
      </c>
      <c r="H217" s="5">
        <f>H218+H219</f>
        <v>83.668999999999997</v>
      </c>
    </row>
    <row r="218" spans="1:10">
      <c r="A218" s="24" t="s">
        <v>155</v>
      </c>
      <c r="B218" s="6" t="s">
        <v>156</v>
      </c>
      <c r="C218" s="6" t="s">
        <v>52</v>
      </c>
      <c r="D218" s="6">
        <v>969</v>
      </c>
      <c r="E218" s="6" t="s">
        <v>13</v>
      </c>
      <c r="F218" s="6" t="s">
        <v>15</v>
      </c>
      <c r="G218" s="72">
        <v>64.262</v>
      </c>
      <c r="H218" s="72">
        <v>64.262</v>
      </c>
      <c r="J218" s="9"/>
    </row>
    <row r="219" spans="1:10" s="25" customFormat="1" ht="38.25">
      <c r="A219" s="10" t="s">
        <v>152</v>
      </c>
      <c r="B219" s="6" t="s">
        <v>156</v>
      </c>
      <c r="C219" s="6" t="s">
        <v>83</v>
      </c>
      <c r="D219" s="6">
        <v>969</v>
      </c>
      <c r="E219" s="6" t="s">
        <v>13</v>
      </c>
      <c r="F219" s="6" t="s">
        <v>15</v>
      </c>
      <c r="G219" s="72">
        <v>19.407</v>
      </c>
      <c r="H219" s="72">
        <v>19.407</v>
      </c>
    </row>
    <row r="220" spans="1:10" s="25" customFormat="1" ht="27">
      <c r="A220" s="22" t="s">
        <v>222</v>
      </c>
      <c r="B220" s="8" t="s">
        <v>139</v>
      </c>
      <c r="C220" s="8"/>
      <c r="D220" s="8" t="s">
        <v>57</v>
      </c>
      <c r="E220" s="8" t="s">
        <v>13</v>
      </c>
      <c r="F220" s="8" t="s">
        <v>15</v>
      </c>
      <c r="G220" s="34">
        <f>G221</f>
        <v>49914.700000000004</v>
      </c>
      <c r="H220" s="34">
        <f>H221</f>
        <v>49912.600000000006</v>
      </c>
    </row>
    <row r="221" spans="1:10" s="25" customFormat="1" ht="25.5">
      <c r="A221" s="21" t="s">
        <v>140</v>
      </c>
      <c r="B221" s="4" t="s">
        <v>141</v>
      </c>
      <c r="C221" s="4"/>
      <c r="D221" s="4" t="s">
        <v>57</v>
      </c>
      <c r="E221" s="4" t="s">
        <v>13</v>
      </c>
      <c r="F221" s="4" t="s">
        <v>15</v>
      </c>
      <c r="G221" s="5">
        <f>G224+G227+G222+G234</f>
        <v>49914.700000000004</v>
      </c>
      <c r="H221" s="5">
        <f>H224+H227+H222+H234</f>
        <v>49912.600000000006</v>
      </c>
    </row>
    <row r="222" spans="1:10" s="25" customFormat="1" ht="89.25">
      <c r="A222" s="17" t="s">
        <v>33</v>
      </c>
      <c r="B222" s="4" t="s">
        <v>144</v>
      </c>
      <c r="C222" s="4"/>
      <c r="D222" s="4">
        <v>969</v>
      </c>
      <c r="E222" s="4" t="s">
        <v>13</v>
      </c>
      <c r="F222" s="4" t="s">
        <v>15</v>
      </c>
      <c r="G222" s="5">
        <f>G223</f>
        <v>84.1</v>
      </c>
      <c r="H222" s="5">
        <f>H223</f>
        <v>82</v>
      </c>
    </row>
    <row r="223" spans="1:10" s="25" customFormat="1" ht="25.5">
      <c r="A223" s="10" t="s">
        <v>35</v>
      </c>
      <c r="B223" s="6" t="s">
        <v>144</v>
      </c>
      <c r="C223" s="6" t="s">
        <v>36</v>
      </c>
      <c r="D223" s="6">
        <v>969</v>
      </c>
      <c r="E223" s="6" t="s">
        <v>13</v>
      </c>
      <c r="F223" s="6" t="s">
        <v>15</v>
      </c>
      <c r="G223" s="72">
        <v>84.1</v>
      </c>
      <c r="H223" s="72">
        <v>82</v>
      </c>
    </row>
    <row r="224" spans="1:10" s="25" customFormat="1" ht="25.5">
      <c r="A224" s="21" t="s">
        <v>50</v>
      </c>
      <c r="B224" s="4" t="s">
        <v>154</v>
      </c>
      <c r="C224" s="4"/>
      <c r="D224" s="4" t="s">
        <v>57</v>
      </c>
      <c r="E224" s="4" t="s">
        <v>13</v>
      </c>
      <c r="F224" s="4" t="s">
        <v>15</v>
      </c>
      <c r="G224" s="5">
        <f>G225+G226</f>
        <v>1107</v>
      </c>
      <c r="H224" s="5">
        <f>H225+H226</f>
        <v>1107</v>
      </c>
    </row>
    <row r="225" spans="1:8" s="25" customFormat="1" ht="25.5">
      <c r="A225" s="24" t="s">
        <v>76</v>
      </c>
      <c r="B225" s="6" t="s">
        <v>154</v>
      </c>
      <c r="C225" s="6" t="s">
        <v>34</v>
      </c>
      <c r="D225" s="6" t="s">
        <v>57</v>
      </c>
      <c r="E225" s="6" t="s">
        <v>13</v>
      </c>
      <c r="F225" s="6" t="s">
        <v>15</v>
      </c>
      <c r="G225" s="15">
        <v>815.4</v>
      </c>
      <c r="H225" s="15">
        <v>815.4</v>
      </c>
    </row>
    <row r="226" spans="1:8" s="25" customFormat="1" ht="38.25">
      <c r="A226" s="10" t="s">
        <v>77</v>
      </c>
      <c r="B226" s="6" t="s">
        <v>154</v>
      </c>
      <c r="C226" s="6" t="s">
        <v>70</v>
      </c>
      <c r="D226" s="6" t="s">
        <v>57</v>
      </c>
      <c r="E226" s="6" t="s">
        <v>13</v>
      </c>
      <c r="F226" s="6" t="s">
        <v>15</v>
      </c>
      <c r="G226" s="15">
        <v>291.60000000000002</v>
      </c>
      <c r="H226" s="15">
        <v>291.60000000000002</v>
      </c>
    </row>
    <row r="227" spans="1:8" s="25" customFormat="1" ht="51">
      <c r="A227" s="17" t="s">
        <v>142</v>
      </c>
      <c r="B227" s="4" t="s">
        <v>143</v>
      </c>
      <c r="C227" s="4"/>
      <c r="D227" s="4">
        <v>969</v>
      </c>
      <c r="E227" s="4" t="s">
        <v>13</v>
      </c>
      <c r="F227" s="4" t="s">
        <v>15</v>
      </c>
      <c r="G227" s="5">
        <f>SUM(G228:G233)</f>
        <v>10994.8</v>
      </c>
      <c r="H227" s="5">
        <f>SUM(H228:H233)</f>
        <v>10994.8</v>
      </c>
    </row>
    <row r="228" spans="1:8" s="25" customFormat="1">
      <c r="A228" s="24" t="s">
        <v>151</v>
      </c>
      <c r="B228" s="6" t="s">
        <v>143</v>
      </c>
      <c r="C228" s="6" t="s">
        <v>52</v>
      </c>
      <c r="D228" s="6">
        <v>969</v>
      </c>
      <c r="E228" s="6" t="s">
        <v>13</v>
      </c>
      <c r="F228" s="6" t="s">
        <v>15</v>
      </c>
      <c r="G228" s="15">
        <v>7730.3</v>
      </c>
      <c r="H228" s="15">
        <v>7730.3</v>
      </c>
    </row>
    <row r="229" spans="1:8" s="25" customFormat="1" ht="38.25">
      <c r="A229" s="10" t="s">
        <v>152</v>
      </c>
      <c r="B229" s="6" t="s">
        <v>143</v>
      </c>
      <c r="C229" s="6" t="s">
        <v>83</v>
      </c>
      <c r="D229" s="6">
        <v>969</v>
      </c>
      <c r="E229" s="6" t="s">
        <v>13</v>
      </c>
      <c r="F229" s="6" t="s">
        <v>15</v>
      </c>
      <c r="G229" s="15">
        <v>2334.6</v>
      </c>
      <c r="H229" s="15">
        <v>2334.6</v>
      </c>
    </row>
    <row r="230" spans="1:8" s="25" customFormat="1" ht="25.5">
      <c r="A230" s="10" t="s">
        <v>35</v>
      </c>
      <c r="B230" s="6" t="s">
        <v>143</v>
      </c>
      <c r="C230" s="6" t="s">
        <v>36</v>
      </c>
      <c r="D230" s="6">
        <v>969</v>
      </c>
      <c r="E230" s="6" t="s">
        <v>13</v>
      </c>
      <c r="F230" s="6" t="s">
        <v>15</v>
      </c>
      <c r="G230" s="15">
        <v>13.8</v>
      </c>
      <c r="H230" s="15">
        <v>13.8</v>
      </c>
    </row>
    <row r="231" spans="1:8" s="25" customFormat="1">
      <c r="A231" s="10" t="s">
        <v>281</v>
      </c>
      <c r="B231" s="6" t="s">
        <v>143</v>
      </c>
      <c r="C231" s="6" t="s">
        <v>282</v>
      </c>
      <c r="D231" s="6">
        <v>969</v>
      </c>
      <c r="E231" s="6" t="s">
        <v>13</v>
      </c>
      <c r="F231" s="6" t="s">
        <v>15</v>
      </c>
      <c r="G231" s="15">
        <v>842</v>
      </c>
      <c r="H231" s="15">
        <v>842</v>
      </c>
    </row>
    <row r="232" spans="1:8" s="25" customFormat="1" ht="25.5">
      <c r="A232" s="10" t="s">
        <v>37</v>
      </c>
      <c r="B232" s="6" t="s">
        <v>143</v>
      </c>
      <c r="C232" s="6" t="s">
        <v>38</v>
      </c>
      <c r="D232" s="6">
        <v>969</v>
      </c>
      <c r="E232" s="6" t="s">
        <v>13</v>
      </c>
      <c r="F232" s="6" t="s">
        <v>15</v>
      </c>
      <c r="G232" s="15">
        <v>25.6</v>
      </c>
      <c r="H232" s="15">
        <v>25.6</v>
      </c>
    </row>
    <row r="233" spans="1:8" s="25" customFormat="1">
      <c r="A233" s="10" t="s">
        <v>84</v>
      </c>
      <c r="B233" s="6" t="s">
        <v>143</v>
      </c>
      <c r="C233" s="6" t="s">
        <v>39</v>
      </c>
      <c r="D233" s="6">
        <v>969</v>
      </c>
      <c r="E233" s="6" t="s">
        <v>13</v>
      </c>
      <c r="F233" s="6" t="s">
        <v>15</v>
      </c>
      <c r="G233" s="15">
        <v>48.5</v>
      </c>
      <c r="H233" s="15">
        <v>48.5</v>
      </c>
    </row>
    <row r="234" spans="1:8" s="25" customFormat="1" ht="25.5">
      <c r="A234" s="21" t="s">
        <v>308</v>
      </c>
      <c r="B234" s="4" t="s">
        <v>310</v>
      </c>
      <c r="C234" s="4"/>
      <c r="D234" s="4" t="s">
        <v>57</v>
      </c>
      <c r="E234" s="4" t="s">
        <v>13</v>
      </c>
      <c r="F234" s="4" t="s">
        <v>15</v>
      </c>
      <c r="G234" s="73">
        <f>G235+G236</f>
        <v>37728.800000000003</v>
      </c>
      <c r="H234" s="73">
        <f>H235+H236</f>
        <v>37728.800000000003</v>
      </c>
    </row>
    <row r="235" spans="1:8" s="25" customFormat="1">
      <c r="A235" s="24" t="s">
        <v>150</v>
      </c>
      <c r="B235" s="6" t="s">
        <v>311</v>
      </c>
      <c r="C235" s="6" t="s">
        <v>52</v>
      </c>
      <c r="D235" s="6" t="s">
        <v>57</v>
      </c>
      <c r="E235" s="6" t="s">
        <v>13</v>
      </c>
      <c r="F235" s="6" t="s">
        <v>15</v>
      </c>
      <c r="G235" s="72">
        <v>28977.9</v>
      </c>
      <c r="H235" s="72">
        <v>28977.9</v>
      </c>
    </row>
    <row r="236" spans="1:8" s="25" customFormat="1" ht="38.25">
      <c r="A236" s="10" t="s">
        <v>152</v>
      </c>
      <c r="B236" s="6" t="s">
        <v>310</v>
      </c>
      <c r="C236" s="6" t="s">
        <v>83</v>
      </c>
      <c r="D236" s="6" t="s">
        <v>57</v>
      </c>
      <c r="E236" s="6" t="s">
        <v>13</v>
      </c>
      <c r="F236" s="6" t="s">
        <v>15</v>
      </c>
      <c r="G236" s="72">
        <v>8750.9</v>
      </c>
      <c r="H236" s="72">
        <v>8750.9</v>
      </c>
    </row>
    <row r="237" spans="1:8" s="25" customFormat="1" ht="13.5">
      <c r="A237" s="40" t="s">
        <v>223</v>
      </c>
      <c r="B237" s="8" t="s">
        <v>167</v>
      </c>
      <c r="C237" s="8"/>
      <c r="D237" s="8" t="s">
        <v>57</v>
      </c>
      <c r="E237" s="8" t="s">
        <v>13</v>
      </c>
      <c r="F237" s="8" t="s">
        <v>15</v>
      </c>
      <c r="G237" s="34">
        <f>G238+G241+G244</f>
        <v>403.6</v>
      </c>
      <c r="H237" s="34">
        <f>H238+H241+H244</f>
        <v>403.6</v>
      </c>
    </row>
    <row r="238" spans="1:8" s="25" customFormat="1" ht="25.5">
      <c r="A238" s="41" t="s">
        <v>168</v>
      </c>
      <c r="B238" s="4" t="s">
        <v>169</v>
      </c>
      <c r="C238" s="4"/>
      <c r="D238" s="4" t="s">
        <v>57</v>
      </c>
      <c r="E238" s="4" t="s">
        <v>13</v>
      </c>
      <c r="F238" s="4" t="s">
        <v>15</v>
      </c>
      <c r="G238" s="5">
        <f>G239</f>
        <v>200</v>
      </c>
      <c r="H238" s="5">
        <f>H239</f>
        <v>200</v>
      </c>
    </row>
    <row r="239" spans="1:8" s="25" customFormat="1" ht="25.5">
      <c r="A239" s="41" t="s">
        <v>170</v>
      </c>
      <c r="B239" s="4" t="s">
        <v>171</v>
      </c>
      <c r="C239" s="4"/>
      <c r="D239" s="4" t="s">
        <v>57</v>
      </c>
      <c r="E239" s="4" t="s">
        <v>13</v>
      </c>
      <c r="F239" s="4" t="s">
        <v>15</v>
      </c>
      <c r="G239" s="5">
        <f>G240</f>
        <v>200</v>
      </c>
      <c r="H239" s="5">
        <f>H240</f>
        <v>200</v>
      </c>
    </row>
    <row r="240" spans="1:8" s="25" customFormat="1" ht="25.5">
      <c r="A240" s="10" t="s">
        <v>35</v>
      </c>
      <c r="B240" s="6" t="s">
        <v>171</v>
      </c>
      <c r="C240" s="6" t="s">
        <v>36</v>
      </c>
      <c r="D240" s="6" t="s">
        <v>57</v>
      </c>
      <c r="E240" s="6" t="s">
        <v>13</v>
      </c>
      <c r="F240" s="6" t="s">
        <v>15</v>
      </c>
      <c r="G240" s="15">
        <v>200</v>
      </c>
      <c r="H240" s="15">
        <v>200</v>
      </c>
    </row>
    <row r="241" spans="1:8" s="25" customFormat="1" ht="38.25">
      <c r="A241" s="17" t="s">
        <v>249</v>
      </c>
      <c r="B241" s="4" t="s">
        <v>250</v>
      </c>
      <c r="C241" s="79"/>
      <c r="D241" s="4">
        <v>969</v>
      </c>
      <c r="E241" s="4" t="s">
        <v>13</v>
      </c>
      <c r="F241" s="4" t="s">
        <v>15</v>
      </c>
      <c r="G241" s="5">
        <f>G242</f>
        <v>98</v>
      </c>
      <c r="H241" s="5">
        <f>H242</f>
        <v>98</v>
      </c>
    </row>
    <row r="242" spans="1:8" s="25" customFormat="1" ht="38.25">
      <c r="A242" s="17" t="s">
        <v>251</v>
      </c>
      <c r="B242" s="4" t="s">
        <v>252</v>
      </c>
      <c r="C242" s="79"/>
      <c r="D242" s="4">
        <v>969</v>
      </c>
      <c r="E242" s="4" t="s">
        <v>13</v>
      </c>
      <c r="F242" s="4" t="s">
        <v>15</v>
      </c>
      <c r="G242" s="5">
        <f>G243</f>
        <v>98</v>
      </c>
      <c r="H242" s="5">
        <f>H243</f>
        <v>98</v>
      </c>
    </row>
    <row r="243" spans="1:8" s="25" customFormat="1" ht="25.5">
      <c r="A243" s="10" t="s">
        <v>35</v>
      </c>
      <c r="B243" s="6" t="s">
        <v>252</v>
      </c>
      <c r="C243" s="52" t="s">
        <v>36</v>
      </c>
      <c r="D243" s="6">
        <v>969</v>
      </c>
      <c r="E243" s="6" t="s">
        <v>13</v>
      </c>
      <c r="F243" s="6" t="s">
        <v>15</v>
      </c>
      <c r="G243" s="15">
        <v>98</v>
      </c>
      <c r="H243" s="15">
        <v>98</v>
      </c>
    </row>
    <row r="244" spans="1:8" s="25" customFormat="1" ht="25.5">
      <c r="A244" s="41" t="s">
        <v>170</v>
      </c>
      <c r="B244" s="4" t="s">
        <v>171</v>
      </c>
      <c r="C244" s="4"/>
      <c r="D244" s="4" t="s">
        <v>58</v>
      </c>
      <c r="E244" s="4" t="s">
        <v>13</v>
      </c>
      <c r="F244" s="4" t="s">
        <v>24</v>
      </c>
      <c r="G244" s="5">
        <f>G245</f>
        <v>105.6</v>
      </c>
      <c r="H244" s="5">
        <f>H245</f>
        <v>105.6</v>
      </c>
    </row>
    <row r="245" spans="1:8" s="25" customFormat="1">
      <c r="A245" s="42" t="s">
        <v>48</v>
      </c>
      <c r="B245" s="6" t="s">
        <v>171</v>
      </c>
      <c r="C245" s="6" t="s">
        <v>49</v>
      </c>
      <c r="D245" s="6" t="s">
        <v>58</v>
      </c>
      <c r="E245" s="6" t="s">
        <v>13</v>
      </c>
      <c r="F245" s="6" t="s">
        <v>24</v>
      </c>
      <c r="G245" s="72">
        <v>105.6</v>
      </c>
      <c r="H245" s="72">
        <v>105.6</v>
      </c>
    </row>
    <row r="246" spans="1:8" s="25" customFormat="1" ht="25.5">
      <c r="A246" s="33" t="s">
        <v>390</v>
      </c>
      <c r="B246" s="62" t="s">
        <v>162</v>
      </c>
      <c r="C246" s="62"/>
      <c r="D246" s="62" t="s">
        <v>58</v>
      </c>
      <c r="E246" s="62" t="s">
        <v>16</v>
      </c>
      <c r="F246" s="62" t="s">
        <v>12</v>
      </c>
      <c r="G246" s="63">
        <f t="shared" ref="G246:H248" si="6">G247</f>
        <v>151</v>
      </c>
      <c r="H246" s="63">
        <f t="shared" si="6"/>
        <v>151</v>
      </c>
    </row>
    <row r="247" spans="1:8" s="25" customFormat="1" ht="25.5">
      <c r="A247" s="17" t="s">
        <v>172</v>
      </c>
      <c r="B247" s="4" t="s">
        <v>259</v>
      </c>
      <c r="C247" s="4"/>
      <c r="D247" s="4" t="s">
        <v>58</v>
      </c>
      <c r="E247" s="4" t="s">
        <v>16</v>
      </c>
      <c r="F247" s="4" t="s">
        <v>12</v>
      </c>
      <c r="G247" s="35">
        <f t="shared" si="6"/>
        <v>151</v>
      </c>
      <c r="H247" s="35">
        <f t="shared" si="6"/>
        <v>151</v>
      </c>
    </row>
    <row r="248" spans="1:8" s="25" customFormat="1" ht="25.5">
      <c r="A248" s="16" t="s">
        <v>163</v>
      </c>
      <c r="B248" s="4" t="s">
        <v>260</v>
      </c>
      <c r="C248" s="4"/>
      <c r="D248" s="4" t="s">
        <v>58</v>
      </c>
      <c r="E248" s="4" t="s">
        <v>16</v>
      </c>
      <c r="F248" s="4" t="s">
        <v>12</v>
      </c>
      <c r="G248" s="5">
        <f t="shared" si="6"/>
        <v>151</v>
      </c>
      <c r="H248" s="5">
        <f t="shared" si="6"/>
        <v>151</v>
      </c>
    </row>
    <row r="249" spans="1:8" s="25" customFormat="1">
      <c r="A249" s="11" t="s">
        <v>322</v>
      </c>
      <c r="B249" s="6" t="s">
        <v>260</v>
      </c>
      <c r="C249" s="6" t="s">
        <v>321</v>
      </c>
      <c r="D249" s="6" t="s">
        <v>58</v>
      </c>
      <c r="E249" s="6" t="s">
        <v>16</v>
      </c>
      <c r="F249" s="6" t="s">
        <v>12</v>
      </c>
      <c r="G249" s="72">
        <v>151</v>
      </c>
      <c r="H249" s="72">
        <v>151</v>
      </c>
    </row>
    <row r="250" spans="1:8" s="25" customFormat="1" ht="38.25">
      <c r="A250" s="61" t="s">
        <v>391</v>
      </c>
      <c r="B250" s="62" t="s">
        <v>253</v>
      </c>
      <c r="C250" s="62"/>
      <c r="D250" s="62">
        <v>968</v>
      </c>
      <c r="E250" s="62" t="s">
        <v>10</v>
      </c>
      <c r="F250" s="62" t="s">
        <v>32</v>
      </c>
      <c r="G250" s="63">
        <f t="shared" ref="G250:H252" si="7">G251</f>
        <v>180</v>
      </c>
      <c r="H250" s="63">
        <f t="shared" si="7"/>
        <v>180</v>
      </c>
    </row>
    <row r="251" spans="1:8" s="25" customFormat="1" ht="25.5">
      <c r="A251" s="17" t="s">
        <v>255</v>
      </c>
      <c r="B251" s="4" t="s">
        <v>254</v>
      </c>
      <c r="C251" s="4"/>
      <c r="D251" s="4">
        <v>968</v>
      </c>
      <c r="E251" s="4" t="s">
        <v>10</v>
      </c>
      <c r="F251" s="4" t="s">
        <v>32</v>
      </c>
      <c r="G251" s="5">
        <f t="shared" si="7"/>
        <v>180</v>
      </c>
      <c r="H251" s="5">
        <f t="shared" si="7"/>
        <v>180</v>
      </c>
    </row>
    <row r="252" spans="1:8" s="25" customFormat="1" ht="25.5">
      <c r="A252" s="12" t="s">
        <v>66</v>
      </c>
      <c r="B252" s="4" t="s">
        <v>1</v>
      </c>
      <c r="C252" s="4"/>
      <c r="D252" s="4">
        <v>968</v>
      </c>
      <c r="E252" s="4" t="s">
        <v>10</v>
      </c>
      <c r="F252" s="4" t="s">
        <v>32</v>
      </c>
      <c r="G252" s="5">
        <f t="shared" si="7"/>
        <v>180</v>
      </c>
      <c r="H252" s="5">
        <f t="shared" si="7"/>
        <v>180</v>
      </c>
    </row>
    <row r="253" spans="1:8" s="25" customFormat="1" ht="25.5">
      <c r="A253" s="14" t="s">
        <v>66</v>
      </c>
      <c r="B253" s="6" t="s">
        <v>1</v>
      </c>
      <c r="C253" s="6" t="s">
        <v>36</v>
      </c>
      <c r="D253" s="6" t="s">
        <v>59</v>
      </c>
      <c r="E253" s="6" t="s">
        <v>10</v>
      </c>
      <c r="F253" s="6" t="s">
        <v>32</v>
      </c>
      <c r="G253" s="15">
        <v>180</v>
      </c>
      <c r="H253" s="15">
        <v>180</v>
      </c>
    </row>
    <row r="254" spans="1:8" s="25" customFormat="1" ht="38.25">
      <c r="A254" s="61" t="s">
        <v>392</v>
      </c>
      <c r="B254" s="62" t="s">
        <v>211</v>
      </c>
      <c r="C254" s="62"/>
      <c r="D254" s="62">
        <v>968</v>
      </c>
      <c r="E254" s="62" t="s">
        <v>10</v>
      </c>
      <c r="F254" s="62" t="s">
        <v>32</v>
      </c>
      <c r="G254" s="63">
        <f t="shared" ref="G254:H256" si="8">G255</f>
        <v>200</v>
      </c>
      <c r="H254" s="63">
        <f t="shared" si="8"/>
        <v>200</v>
      </c>
    </row>
    <row r="255" spans="1:8" s="25" customFormat="1" ht="25.5">
      <c r="A255" s="53" t="s">
        <v>224</v>
      </c>
      <c r="B255" s="4" t="s">
        <v>212</v>
      </c>
      <c r="C255" s="4"/>
      <c r="D255" s="4">
        <v>968</v>
      </c>
      <c r="E255" s="4" t="s">
        <v>10</v>
      </c>
      <c r="F255" s="4" t="s">
        <v>32</v>
      </c>
      <c r="G255" s="5">
        <f t="shared" si="8"/>
        <v>200</v>
      </c>
      <c r="H255" s="5">
        <f t="shared" si="8"/>
        <v>200</v>
      </c>
    </row>
    <row r="256" spans="1:8" s="25" customFormat="1" ht="25.5">
      <c r="A256" s="12" t="s">
        <v>66</v>
      </c>
      <c r="B256" s="4" t="s">
        <v>213</v>
      </c>
      <c r="C256" s="4"/>
      <c r="D256" s="4" t="s">
        <v>59</v>
      </c>
      <c r="E256" s="4" t="s">
        <v>10</v>
      </c>
      <c r="F256" s="4" t="s">
        <v>32</v>
      </c>
      <c r="G256" s="5">
        <f t="shared" si="8"/>
        <v>200</v>
      </c>
      <c r="H256" s="5">
        <f t="shared" si="8"/>
        <v>200</v>
      </c>
    </row>
    <row r="257" spans="1:8" s="25" customFormat="1" ht="25.5">
      <c r="A257" s="23" t="s">
        <v>35</v>
      </c>
      <c r="B257" s="6" t="s">
        <v>213</v>
      </c>
      <c r="C257" s="6" t="s">
        <v>36</v>
      </c>
      <c r="D257" s="6" t="s">
        <v>59</v>
      </c>
      <c r="E257" s="6" t="s">
        <v>10</v>
      </c>
      <c r="F257" s="6" t="s">
        <v>32</v>
      </c>
      <c r="G257" s="15">
        <v>200</v>
      </c>
      <c r="H257" s="15">
        <v>200</v>
      </c>
    </row>
    <row r="258" spans="1:8" s="26" customFormat="1" ht="38.25">
      <c r="A258" s="93" t="s">
        <v>372</v>
      </c>
      <c r="B258" s="94" t="s">
        <v>374</v>
      </c>
      <c r="C258" s="90"/>
      <c r="D258" s="90">
        <v>968</v>
      </c>
      <c r="E258" s="90" t="s">
        <v>12</v>
      </c>
      <c r="F258" s="90" t="s">
        <v>28</v>
      </c>
      <c r="G258" s="95">
        <f t="shared" ref="G258:H260" si="9">G259</f>
        <v>30</v>
      </c>
      <c r="H258" s="95">
        <f t="shared" si="9"/>
        <v>30</v>
      </c>
    </row>
    <row r="259" spans="1:8" s="26" customFormat="1" ht="38.25">
      <c r="A259" s="12" t="s">
        <v>373</v>
      </c>
      <c r="B259" s="4" t="s">
        <v>375</v>
      </c>
      <c r="C259" s="4"/>
      <c r="D259" s="4">
        <v>968</v>
      </c>
      <c r="E259" s="4" t="s">
        <v>12</v>
      </c>
      <c r="F259" s="4" t="s">
        <v>28</v>
      </c>
      <c r="G259" s="5">
        <f t="shared" si="9"/>
        <v>30</v>
      </c>
      <c r="H259" s="5">
        <f t="shared" si="9"/>
        <v>30</v>
      </c>
    </row>
    <row r="260" spans="1:8" s="26" customFormat="1" ht="25.5">
      <c r="A260" s="13" t="s">
        <v>66</v>
      </c>
      <c r="B260" s="4" t="s">
        <v>376</v>
      </c>
      <c r="C260" s="4"/>
      <c r="D260" s="4">
        <v>968</v>
      </c>
      <c r="E260" s="4" t="s">
        <v>12</v>
      </c>
      <c r="F260" s="4" t="s">
        <v>28</v>
      </c>
      <c r="G260" s="5">
        <f t="shared" si="9"/>
        <v>30</v>
      </c>
      <c r="H260" s="5">
        <f t="shared" si="9"/>
        <v>30</v>
      </c>
    </row>
    <row r="261" spans="1:8" s="26" customFormat="1" ht="25.5">
      <c r="A261" s="10" t="s">
        <v>35</v>
      </c>
      <c r="B261" s="6" t="s">
        <v>376</v>
      </c>
      <c r="C261" s="6" t="s">
        <v>36</v>
      </c>
      <c r="D261" s="6">
        <v>968</v>
      </c>
      <c r="E261" s="6" t="s">
        <v>12</v>
      </c>
      <c r="F261" s="6" t="s">
        <v>28</v>
      </c>
      <c r="G261" s="15">
        <v>30</v>
      </c>
      <c r="H261" s="15">
        <v>30</v>
      </c>
    </row>
    <row r="262" spans="1:8" s="25" customFormat="1" ht="38.25">
      <c r="A262" s="61" t="s">
        <v>393</v>
      </c>
      <c r="B262" s="62" t="s">
        <v>182</v>
      </c>
      <c r="C262" s="62"/>
      <c r="D262" s="65" t="s">
        <v>59</v>
      </c>
      <c r="E262" s="62" t="s">
        <v>14</v>
      </c>
      <c r="F262" s="62" t="s">
        <v>24</v>
      </c>
      <c r="G262" s="63">
        <f>G263</f>
        <v>16874.197089999998</v>
      </c>
      <c r="H262" s="63">
        <f t="shared" ref="G262:H268" si="10">H263</f>
        <v>0</v>
      </c>
    </row>
    <row r="263" spans="1:8" s="25" customFormat="1" ht="25.5">
      <c r="A263" s="17" t="s">
        <v>183</v>
      </c>
      <c r="B263" s="4" t="s">
        <v>186</v>
      </c>
      <c r="C263" s="12"/>
      <c r="D263" s="4">
        <v>968</v>
      </c>
      <c r="E263" s="4" t="s">
        <v>14</v>
      </c>
      <c r="F263" s="4" t="s">
        <v>24</v>
      </c>
      <c r="G263" s="15">
        <f t="shared" si="10"/>
        <v>16874.197089999998</v>
      </c>
      <c r="H263" s="15">
        <f t="shared" si="10"/>
        <v>0</v>
      </c>
    </row>
    <row r="264" spans="1:8" s="25" customFormat="1" ht="38.25">
      <c r="A264" s="17" t="s">
        <v>207</v>
      </c>
      <c r="B264" s="4" t="s">
        <v>216</v>
      </c>
      <c r="C264" s="12"/>
      <c r="D264" s="4">
        <v>968</v>
      </c>
      <c r="E264" s="4" t="s">
        <v>14</v>
      </c>
      <c r="F264" s="4" t="s">
        <v>24</v>
      </c>
      <c r="G264" s="5">
        <f t="shared" si="10"/>
        <v>16874.197089999998</v>
      </c>
      <c r="H264" s="5">
        <f t="shared" si="10"/>
        <v>0</v>
      </c>
    </row>
    <row r="265" spans="1:8" s="25" customFormat="1" ht="25.5">
      <c r="A265" s="23" t="s">
        <v>35</v>
      </c>
      <c r="B265" s="6" t="s">
        <v>216</v>
      </c>
      <c r="C265" s="6" t="s">
        <v>36</v>
      </c>
      <c r="D265" s="6">
        <v>968</v>
      </c>
      <c r="E265" s="6" t="s">
        <v>14</v>
      </c>
      <c r="F265" s="6" t="s">
        <v>24</v>
      </c>
      <c r="G265" s="72">
        <f>16520.17645+337.14644+16.8573+0.0169</f>
        <v>16874.197089999998</v>
      </c>
      <c r="H265" s="72">
        <v>0</v>
      </c>
    </row>
    <row r="266" spans="1:8" s="25" customFormat="1" ht="25.5">
      <c r="A266" s="62" t="s">
        <v>394</v>
      </c>
      <c r="B266" s="62" t="s">
        <v>364</v>
      </c>
      <c r="C266" s="62"/>
      <c r="D266" s="62" t="s">
        <v>67</v>
      </c>
      <c r="E266" s="62" t="s">
        <v>14</v>
      </c>
      <c r="F266" s="62" t="s">
        <v>14</v>
      </c>
      <c r="G266" s="63">
        <f>G267</f>
        <v>288059.21999999997</v>
      </c>
      <c r="H266" s="63">
        <f>H268</f>
        <v>0</v>
      </c>
    </row>
    <row r="267" spans="1:8" s="25" customFormat="1" ht="25.5">
      <c r="A267" s="12" t="s">
        <v>366</v>
      </c>
      <c r="B267" s="4" t="s">
        <v>395</v>
      </c>
      <c r="C267" s="4"/>
      <c r="D267" s="4" t="s">
        <v>67</v>
      </c>
      <c r="E267" s="4" t="s">
        <v>14</v>
      </c>
      <c r="F267" s="4" t="s">
        <v>14</v>
      </c>
      <c r="G267" s="5">
        <f>G268</f>
        <v>288059.21999999997</v>
      </c>
      <c r="H267" s="5">
        <f t="shared" si="10"/>
        <v>0</v>
      </c>
    </row>
    <row r="268" spans="1:8" s="25" customFormat="1" ht="25.5">
      <c r="A268" s="12" t="s">
        <v>363</v>
      </c>
      <c r="B268" s="4" t="s">
        <v>365</v>
      </c>
      <c r="C268" s="4"/>
      <c r="D268" s="4" t="s">
        <v>67</v>
      </c>
      <c r="E268" s="4" t="s">
        <v>14</v>
      </c>
      <c r="F268" s="4" t="s">
        <v>14</v>
      </c>
      <c r="G268" s="5">
        <f t="shared" si="10"/>
        <v>288059.21999999997</v>
      </c>
      <c r="H268" s="5">
        <f t="shared" si="10"/>
        <v>0</v>
      </c>
    </row>
    <row r="269" spans="1:8" s="25" customFormat="1" ht="38.25">
      <c r="A269" s="10" t="s">
        <v>316</v>
      </c>
      <c r="B269" s="6" t="s">
        <v>365</v>
      </c>
      <c r="C269" s="6" t="s">
        <v>317</v>
      </c>
      <c r="D269" s="6" t="s">
        <v>67</v>
      </c>
      <c r="E269" s="6" t="s">
        <v>14</v>
      </c>
      <c r="F269" s="6" t="s">
        <v>14</v>
      </c>
      <c r="G269" s="15">
        <v>288059.21999999997</v>
      </c>
      <c r="H269" s="15">
        <v>0</v>
      </c>
    </row>
    <row r="270" spans="1:8" s="25" customFormat="1" ht="63.75">
      <c r="A270" s="64" t="s">
        <v>396</v>
      </c>
      <c r="B270" s="62" t="s">
        <v>269</v>
      </c>
      <c r="C270" s="62"/>
      <c r="D270" s="62"/>
      <c r="E270" s="62"/>
      <c r="F270" s="62"/>
      <c r="G270" s="63">
        <f>G271</f>
        <v>1500</v>
      </c>
      <c r="H270" s="63">
        <f t="shared" ref="G270:H272" si="11">H271</f>
        <v>1500</v>
      </c>
    </row>
    <row r="271" spans="1:8" s="25" customFormat="1" ht="38.25">
      <c r="A271" s="16" t="s">
        <v>272</v>
      </c>
      <c r="B271" s="4" t="s">
        <v>270</v>
      </c>
      <c r="C271" s="4"/>
      <c r="D271" s="4">
        <v>968</v>
      </c>
      <c r="E271" s="4" t="s">
        <v>24</v>
      </c>
      <c r="F271" s="4" t="s">
        <v>18</v>
      </c>
      <c r="G271" s="5">
        <f t="shared" si="11"/>
        <v>1500</v>
      </c>
      <c r="H271" s="5">
        <f t="shared" si="11"/>
        <v>1500</v>
      </c>
    </row>
    <row r="272" spans="1:8" s="25" customFormat="1" ht="25.5">
      <c r="A272" s="70" t="s">
        <v>273</v>
      </c>
      <c r="B272" s="4" t="s">
        <v>271</v>
      </c>
      <c r="C272" s="4"/>
      <c r="D272" s="4">
        <v>968</v>
      </c>
      <c r="E272" s="4" t="s">
        <v>24</v>
      </c>
      <c r="F272" s="4" t="s">
        <v>18</v>
      </c>
      <c r="G272" s="5">
        <f t="shared" si="11"/>
        <v>1500</v>
      </c>
      <c r="H272" s="5">
        <f t="shared" si="11"/>
        <v>1500</v>
      </c>
    </row>
    <row r="273" spans="1:8" s="25" customFormat="1" ht="25.5">
      <c r="A273" s="10" t="s">
        <v>35</v>
      </c>
      <c r="B273" s="6" t="s">
        <v>271</v>
      </c>
      <c r="C273" s="6" t="s">
        <v>36</v>
      </c>
      <c r="D273" s="6">
        <v>968</v>
      </c>
      <c r="E273" s="6" t="s">
        <v>24</v>
      </c>
      <c r="F273" s="6" t="s">
        <v>18</v>
      </c>
      <c r="G273" s="15">
        <v>1500</v>
      </c>
      <c r="H273" s="15">
        <v>1500</v>
      </c>
    </row>
    <row r="274" spans="1:8" s="26" customFormat="1" ht="38.25">
      <c r="A274" s="89" t="s">
        <v>397</v>
      </c>
      <c r="B274" s="90" t="s">
        <v>378</v>
      </c>
      <c r="C274" s="90"/>
      <c r="D274" s="90" t="s">
        <v>59</v>
      </c>
      <c r="E274" s="90" t="s">
        <v>12</v>
      </c>
      <c r="F274" s="90" t="s">
        <v>28</v>
      </c>
      <c r="G274" s="95">
        <f t="shared" ref="G274:H276" si="12">G275</f>
        <v>181</v>
      </c>
      <c r="H274" s="95">
        <f t="shared" si="12"/>
        <v>181</v>
      </c>
    </row>
    <row r="275" spans="1:8" s="26" customFormat="1" ht="51">
      <c r="A275" s="19" t="s">
        <v>377</v>
      </c>
      <c r="B275" s="4" t="s">
        <v>379</v>
      </c>
      <c r="C275" s="4"/>
      <c r="D275" s="6" t="s">
        <v>59</v>
      </c>
      <c r="E275" s="4" t="s">
        <v>12</v>
      </c>
      <c r="F275" s="4" t="s">
        <v>28</v>
      </c>
      <c r="G275" s="5">
        <f t="shared" si="12"/>
        <v>181</v>
      </c>
      <c r="H275" s="5">
        <f t="shared" si="12"/>
        <v>181</v>
      </c>
    </row>
    <row r="276" spans="1:8" s="26" customFormat="1" ht="25.5">
      <c r="A276" s="13" t="s">
        <v>66</v>
      </c>
      <c r="B276" s="4" t="s">
        <v>380</v>
      </c>
      <c r="C276" s="4"/>
      <c r="D276" s="4" t="s">
        <v>59</v>
      </c>
      <c r="E276" s="4" t="s">
        <v>12</v>
      </c>
      <c r="F276" s="4" t="s">
        <v>28</v>
      </c>
      <c r="G276" s="5">
        <f>G277</f>
        <v>181</v>
      </c>
      <c r="H276" s="5">
        <f t="shared" si="12"/>
        <v>181</v>
      </c>
    </row>
    <row r="277" spans="1:8" s="26" customFormat="1" ht="25.5">
      <c r="A277" s="23" t="s">
        <v>35</v>
      </c>
      <c r="B277" s="6" t="s">
        <v>380</v>
      </c>
      <c r="C277" s="6" t="s">
        <v>36</v>
      </c>
      <c r="D277" s="6" t="s">
        <v>59</v>
      </c>
      <c r="E277" s="6" t="s">
        <v>12</v>
      </c>
      <c r="F277" s="6" t="s">
        <v>28</v>
      </c>
      <c r="G277" s="72">
        <v>181</v>
      </c>
      <c r="H277" s="72">
        <v>181</v>
      </c>
    </row>
    <row r="278" spans="1:8" s="26" customFormat="1" ht="51">
      <c r="A278" s="89" t="s">
        <v>367</v>
      </c>
      <c r="B278" s="90" t="s">
        <v>369</v>
      </c>
      <c r="C278" s="90"/>
      <c r="D278" s="91" t="s">
        <v>2</v>
      </c>
      <c r="E278" s="91" t="s">
        <v>12</v>
      </c>
      <c r="F278" s="91" t="s">
        <v>28</v>
      </c>
      <c r="G278" s="92">
        <f t="shared" ref="G278:H280" si="13">G279</f>
        <v>400</v>
      </c>
      <c r="H278" s="92">
        <f t="shared" si="13"/>
        <v>400</v>
      </c>
    </row>
    <row r="279" spans="1:8" s="26" customFormat="1" ht="25.5">
      <c r="A279" s="19" t="s">
        <v>368</v>
      </c>
      <c r="B279" s="4" t="s">
        <v>370</v>
      </c>
      <c r="C279" s="4"/>
      <c r="D279" s="4" t="s">
        <v>2</v>
      </c>
      <c r="E279" s="4" t="s">
        <v>12</v>
      </c>
      <c r="F279" s="4" t="s">
        <v>28</v>
      </c>
      <c r="G279" s="5">
        <f t="shared" si="13"/>
        <v>400</v>
      </c>
      <c r="H279" s="5">
        <f t="shared" si="13"/>
        <v>400</v>
      </c>
    </row>
    <row r="280" spans="1:8" s="26" customFormat="1" ht="25.5">
      <c r="A280" s="20" t="s">
        <v>158</v>
      </c>
      <c r="B280" s="4" t="s">
        <v>371</v>
      </c>
      <c r="C280" s="4"/>
      <c r="D280" s="4" t="s">
        <v>2</v>
      </c>
      <c r="E280" s="4" t="s">
        <v>12</v>
      </c>
      <c r="F280" s="4" t="s">
        <v>28</v>
      </c>
      <c r="G280" s="5">
        <f t="shared" si="13"/>
        <v>400</v>
      </c>
      <c r="H280" s="5">
        <f t="shared" si="13"/>
        <v>400</v>
      </c>
    </row>
    <row r="281" spans="1:8" s="26" customFormat="1" ht="25.5">
      <c r="A281" s="23" t="s">
        <v>35</v>
      </c>
      <c r="B281" s="6" t="s">
        <v>371</v>
      </c>
      <c r="C281" s="6" t="s">
        <v>36</v>
      </c>
      <c r="D281" s="6" t="s">
        <v>2</v>
      </c>
      <c r="E281" s="6" t="s">
        <v>12</v>
      </c>
      <c r="F281" s="6" t="s">
        <v>28</v>
      </c>
      <c r="G281" s="15">
        <v>400</v>
      </c>
      <c r="H281" s="15">
        <v>400</v>
      </c>
    </row>
    <row r="282" spans="1:8" s="25" customFormat="1" ht="38.25">
      <c r="A282" s="64" t="s">
        <v>349</v>
      </c>
      <c r="B282" s="62" t="s">
        <v>353</v>
      </c>
      <c r="C282" s="62"/>
      <c r="D282" s="62">
        <v>968</v>
      </c>
      <c r="E282" s="62" t="s">
        <v>10</v>
      </c>
      <c r="F282" s="62" t="s">
        <v>32</v>
      </c>
      <c r="G282" s="63">
        <f>G283+G286+G289</f>
        <v>11915.36</v>
      </c>
      <c r="H282" s="63">
        <f>H283+H286+H289</f>
        <v>11915.36</v>
      </c>
    </row>
    <row r="283" spans="1:8" s="25" customFormat="1" ht="25.5">
      <c r="A283" s="53" t="s">
        <v>352</v>
      </c>
      <c r="B283" s="4" t="s">
        <v>354</v>
      </c>
      <c r="C283" s="4"/>
      <c r="D283" s="4">
        <v>968</v>
      </c>
      <c r="E283" s="4" t="s">
        <v>10</v>
      </c>
      <c r="F283" s="4" t="s">
        <v>32</v>
      </c>
      <c r="G283" s="5">
        <f>G284</f>
        <v>330</v>
      </c>
      <c r="H283" s="5">
        <f>H284</f>
        <v>350</v>
      </c>
    </row>
    <row r="284" spans="1:8" s="25" customFormat="1" ht="25.5">
      <c r="A284" s="12" t="s">
        <v>66</v>
      </c>
      <c r="B284" s="4" t="s">
        <v>355</v>
      </c>
      <c r="C284" s="4"/>
      <c r="D284" s="4" t="s">
        <v>59</v>
      </c>
      <c r="E284" s="4" t="s">
        <v>10</v>
      </c>
      <c r="F284" s="4" t="s">
        <v>32</v>
      </c>
      <c r="G284" s="5">
        <f>G285</f>
        <v>330</v>
      </c>
      <c r="H284" s="5">
        <f>H285</f>
        <v>350</v>
      </c>
    </row>
    <row r="285" spans="1:8" s="25" customFormat="1" ht="25.5">
      <c r="A285" s="23" t="s">
        <v>35</v>
      </c>
      <c r="B285" s="6" t="s">
        <v>355</v>
      </c>
      <c r="C285" s="6" t="s">
        <v>36</v>
      </c>
      <c r="D285" s="6" t="s">
        <v>59</v>
      </c>
      <c r="E285" s="6" t="s">
        <v>10</v>
      </c>
      <c r="F285" s="6" t="s">
        <v>32</v>
      </c>
      <c r="G285" s="5">
        <v>330</v>
      </c>
      <c r="H285" s="5">
        <v>350</v>
      </c>
    </row>
    <row r="286" spans="1:8" s="25" customFormat="1" ht="25.5">
      <c r="A286" s="12" t="s">
        <v>350</v>
      </c>
      <c r="B286" s="4" t="s">
        <v>356</v>
      </c>
      <c r="C286" s="4"/>
      <c r="D286" s="4">
        <v>968</v>
      </c>
      <c r="E286" s="4" t="s">
        <v>14</v>
      </c>
      <c r="F286" s="4" t="s">
        <v>24</v>
      </c>
      <c r="G286" s="5">
        <f>G287</f>
        <v>11465.36</v>
      </c>
      <c r="H286" s="5">
        <f>H287</f>
        <v>11435.36</v>
      </c>
    </row>
    <row r="287" spans="1:8" s="25" customFormat="1" ht="25.5">
      <c r="A287" s="12" t="s">
        <v>66</v>
      </c>
      <c r="B287" s="4" t="s">
        <v>357</v>
      </c>
      <c r="C287" s="4"/>
      <c r="D287" s="4">
        <v>968</v>
      </c>
      <c r="E287" s="4" t="s">
        <v>14</v>
      </c>
      <c r="F287" s="4" t="s">
        <v>24</v>
      </c>
      <c r="G287" s="5">
        <f>G288</f>
        <v>11465.36</v>
      </c>
      <c r="H287" s="5">
        <f>H288</f>
        <v>11435.36</v>
      </c>
    </row>
    <row r="288" spans="1:8" s="25" customFormat="1">
      <c r="A288" s="42" t="s">
        <v>48</v>
      </c>
      <c r="B288" s="6" t="s">
        <v>357</v>
      </c>
      <c r="C288" s="6" t="s">
        <v>49</v>
      </c>
      <c r="D288" s="6">
        <v>968</v>
      </c>
      <c r="E288" s="6" t="s">
        <v>14</v>
      </c>
      <c r="F288" s="6" t="s">
        <v>24</v>
      </c>
      <c r="G288" s="15">
        <v>11465.36</v>
      </c>
      <c r="H288" s="15">
        <v>11435.36</v>
      </c>
    </row>
    <row r="289" spans="1:8" s="25" customFormat="1" ht="25.5">
      <c r="A289" s="12" t="s">
        <v>351</v>
      </c>
      <c r="B289" s="4" t="s">
        <v>358</v>
      </c>
      <c r="C289" s="4"/>
      <c r="D289" s="4" t="s">
        <v>59</v>
      </c>
      <c r="E289" s="4" t="s">
        <v>14</v>
      </c>
      <c r="F289" s="4" t="s">
        <v>24</v>
      </c>
      <c r="G289" s="5">
        <f>G290</f>
        <v>120</v>
      </c>
      <c r="H289" s="5">
        <f>H290</f>
        <v>130</v>
      </c>
    </row>
    <row r="290" spans="1:8" s="25" customFormat="1" ht="25.5">
      <c r="A290" s="12" t="s">
        <v>66</v>
      </c>
      <c r="B290" s="4" t="s">
        <v>359</v>
      </c>
      <c r="C290" s="4"/>
      <c r="D290" s="4">
        <v>968</v>
      </c>
      <c r="E290" s="4" t="s">
        <v>14</v>
      </c>
      <c r="F290" s="4" t="s">
        <v>24</v>
      </c>
      <c r="G290" s="73">
        <f>G291</f>
        <v>120</v>
      </c>
      <c r="H290" s="73">
        <f>H291</f>
        <v>130</v>
      </c>
    </row>
    <row r="291" spans="1:8" s="25" customFormat="1">
      <c r="A291" s="23" t="s">
        <v>335</v>
      </c>
      <c r="B291" s="6" t="s">
        <v>359</v>
      </c>
      <c r="C291" s="6" t="s">
        <v>336</v>
      </c>
      <c r="D291" s="6">
        <v>968</v>
      </c>
      <c r="E291" s="6" t="s">
        <v>14</v>
      </c>
      <c r="F291" s="6" t="s">
        <v>24</v>
      </c>
      <c r="G291" s="72">
        <v>120</v>
      </c>
      <c r="H291" s="72">
        <v>130</v>
      </c>
    </row>
    <row r="292" spans="1:8" s="49" customFormat="1" ht="13.5">
      <c r="A292" s="33" t="s">
        <v>26</v>
      </c>
      <c r="B292" s="37"/>
      <c r="C292" s="37"/>
      <c r="D292" s="36"/>
      <c r="E292" s="37"/>
      <c r="F292" s="37"/>
      <c r="G292" s="78">
        <f>G21+G31+G43+G47+G73+G77+G92+G123+G159+G246+G250+G254+G258+G262+G266+G270+G274+G278+G282</f>
        <v>1868616.1945300002</v>
      </c>
      <c r="H292" s="78">
        <f>H21+H31+H43+H47+H73+H77+H92+H123+H159+H246+H250+H254+H258+H262+H266+H270+H274+H278+H282</f>
        <v>1267091.2784200001</v>
      </c>
    </row>
    <row r="293" spans="1:8" s="25" customFormat="1">
      <c r="A293" s="1"/>
      <c r="B293" s="1"/>
      <c r="C293" s="1"/>
      <c r="D293" s="1"/>
      <c r="E293" s="1"/>
      <c r="F293" s="1"/>
      <c r="G293" s="1"/>
      <c r="H293" s="1"/>
    </row>
    <row r="294" spans="1:8" s="25" customFormat="1">
      <c r="A294" s="1"/>
      <c r="B294" s="1"/>
      <c r="C294" s="1"/>
      <c r="D294" s="1"/>
      <c r="E294" s="1"/>
      <c r="F294" s="1"/>
      <c r="G294" s="9">
        <v>1868616.2255299999</v>
      </c>
      <c r="H294" s="9">
        <v>1267091.3094200001</v>
      </c>
    </row>
    <row r="295" spans="1:8" s="25" customFormat="1">
      <c r="A295" s="1"/>
      <c r="B295" s="1"/>
      <c r="C295" s="1"/>
      <c r="D295" s="1"/>
      <c r="E295" s="1"/>
      <c r="F295" s="1"/>
      <c r="G295" s="58"/>
      <c r="H295" s="58"/>
    </row>
    <row r="296" spans="1:8" s="25" customFormat="1">
      <c r="A296" s="1"/>
      <c r="B296" s="1"/>
      <c r="C296" s="1"/>
      <c r="D296" s="1"/>
      <c r="E296" s="1"/>
      <c r="F296" s="1"/>
      <c r="G296" s="58">
        <f>G292-G294</f>
        <v>-3.0999999726191163E-2</v>
      </c>
      <c r="H296" s="58">
        <f>H292-H294</f>
        <v>-3.0999999959021807E-2</v>
      </c>
    </row>
    <row r="297" spans="1:8" s="25" customFormat="1">
      <c r="A297" s="1"/>
      <c r="B297" s="1"/>
      <c r="C297" s="1"/>
      <c r="D297" s="1"/>
      <c r="E297" s="1"/>
      <c r="F297" s="1"/>
      <c r="G297" s="58"/>
      <c r="H297" s="58"/>
    </row>
    <row r="298" spans="1:8" s="25" customFormat="1">
      <c r="A298" s="1"/>
      <c r="B298" s="1"/>
      <c r="C298" s="1"/>
      <c r="D298" s="1"/>
      <c r="E298" s="1"/>
      <c r="F298" s="1"/>
      <c r="G298" s="81"/>
      <c r="H298" s="81"/>
    </row>
    <row r="299" spans="1:8" s="25" customFormat="1">
      <c r="A299" s="1"/>
      <c r="B299" s="1"/>
      <c r="C299" s="1"/>
      <c r="D299" s="1"/>
      <c r="E299" s="1"/>
      <c r="F299" s="1"/>
      <c r="G299" s="9"/>
      <c r="H299" s="9"/>
    </row>
    <row r="300" spans="1:8">
      <c r="G300" s="9"/>
      <c r="H300" s="9"/>
    </row>
    <row r="301" spans="1:8">
      <c r="G301" s="9"/>
      <c r="H301" s="9"/>
    </row>
    <row r="303" spans="1:8">
      <c r="G303" s="59"/>
      <c r="H303" s="59"/>
    </row>
    <row r="305" spans="1:9" s="25" customFormat="1">
      <c r="A305" s="1"/>
      <c r="B305" s="1"/>
      <c r="C305" s="1"/>
      <c r="D305" s="1"/>
      <c r="E305" s="1"/>
      <c r="F305" s="1"/>
      <c r="G305" s="85"/>
      <c r="H305" s="85"/>
    </row>
    <row r="306" spans="1:9">
      <c r="G306" s="9"/>
      <c r="H306" s="9"/>
    </row>
    <row r="310" spans="1:9">
      <c r="I310" s="9"/>
    </row>
    <row r="311" spans="1:9">
      <c r="I311" s="9"/>
    </row>
    <row r="318" spans="1:9">
      <c r="I318" s="9"/>
    </row>
    <row r="319" spans="1:9">
      <c r="I319" s="9"/>
    </row>
    <row r="320" spans="1:9">
      <c r="I320" s="9"/>
    </row>
    <row r="321" spans="1:9">
      <c r="I321" s="9"/>
    </row>
    <row r="322" spans="1:9">
      <c r="I322" s="9"/>
    </row>
    <row r="333" spans="1:9" s="25" customFormat="1">
      <c r="A333" s="1"/>
      <c r="B333" s="1"/>
      <c r="C333" s="1"/>
      <c r="D333" s="1"/>
      <c r="E333" s="1"/>
      <c r="F333" s="1"/>
      <c r="G333" s="1"/>
      <c r="H333" s="1"/>
    </row>
    <row r="336" spans="1:9" s="25" customFormat="1">
      <c r="A336" s="1"/>
      <c r="B336" s="1"/>
      <c r="C336" s="1"/>
      <c r="D336" s="1"/>
      <c r="E336" s="1"/>
      <c r="F336" s="1"/>
      <c r="G336" s="1"/>
      <c r="H336" s="1"/>
    </row>
    <row r="339" spans="1:11" s="25" customFormat="1">
      <c r="A339" s="1"/>
      <c r="B339" s="1"/>
      <c r="C339" s="1"/>
      <c r="D339" s="1"/>
      <c r="E339" s="1"/>
      <c r="F339" s="1"/>
      <c r="G339" s="1"/>
      <c r="H339" s="1"/>
    </row>
    <row r="342" spans="1:11" s="25" customFormat="1">
      <c r="A342" s="1"/>
      <c r="B342" s="1"/>
      <c r="C342" s="1"/>
      <c r="D342" s="1"/>
      <c r="E342" s="1"/>
      <c r="F342" s="1"/>
      <c r="G342" s="1"/>
      <c r="H342" s="1"/>
    </row>
    <row r="351" spans="1:11">
      <c r="K351" s="9"/>
    </row>
    <row r="352" spans="1:11">
      <c r="I352" s="9"/>
      <c r="K352" s="9"/>
    </row>
    <row r="353" spans="1:11">
      <c r="K353" s="9"/>
    </row>
    <row r="354" spans="1:11">
      <c r="K354" s="9"/>
    </row>
    <row r="362" spans="1:11" s="25" customFormat="1">
      <c r="A362" s="1"/>
      <c r="B362" s="1"/>
      <c r="C362" s="1"/>
      <c r="D362" s="1"/>
      <c r="E362" s="1"/>
      <c r="F362" s="1"/>
      <c r="G362" s="1"/>
      <c r="H362" s="1"/>
    </row>
    <row r="367" spans="1:11" s="25" customFormat="1">
      <c r="A367" s="1"/>
      <c r="B367" s="1"/>
      <c r="C367" s="1"/>
      <c r="D367" s="1"/>
      <c r="E367" s="1"/>
      <c r="F367" s="1"/>
      <c r="G367" s="1"/>
      <c r="H367" s="1"/>
    </row>
    <row r="377" spans="1:12" s="45" customFormat="1">
      <c r="A377" s="1"/>
      <c r="B377" s="1"/>
      <c r="C377" s="1"/>
      <c r="D377" s="1"/>
      <c r="E377" s="1"/>
      <c r="F377" s="1"/>
      <c r="G377" s="1"/>
      <c r="H377" s="1"/>
      <c r="I377" s="43"/>
      <c r="J377" s="44"/>
      <c r="K377" s="44"/>
      <c r="L377" s="43"/>
    </row>
    <row r="386" spans="1:11" s="26" customFormat="1">
      <c r="A386" s="1"/>
      <c r="B386" s="1"/>
      <c r="C386" s="1"/>
      <c r="D386" s="1"/>
      <c r="E386" s="1"/>
      <c r="F386" s="1"/>
      <c r="G386" s="1"/>
      <c r="H386" s="1"/>
    </row>
    <row r="393" spans="1:11" s="25" customFormat="1">
      <c r="A393" s="1"/>
      <c r="B393" s="1"/>
      <c r="C393" s="1"/>
      <c r="D393" s="1"/>
      <c r="E393" s="1"/>
      <c r="F393" s="1"/>
      <c r="G393" s="1"/>
      <c r="H393" s="1"/>
    </row>
    <row r="396" spans="1:11">
      <c r="K396" s="9"/>
    </row>
    <row r="397" spans="1:11">
      <c r="K397" s="9"/>
    </row>
    <row r="398" spans="1:11">
      <c r="K398" s="9"/>
    </row>
    <row r="399" spans="1:11">
      <c r="K399" s="9"/>
    </row>
    <row r="400" spans="1:11" s="25" customFormat="1">
      <c r="A400" s="1"/>
      <c r="B400" s="1"/>
      <c r="C400" s="1"/>
      <c r="D400" s="1"/>
      <c r="E400" s="1"/>
      <c r="F400" s="1"/>
      <c r="G400" s="1"/>
      <c r="H400" s="1"/>
      <c r="I400" s="38"/>
    </row>
    <row r="401" spans="9:9">
      <c r="I401" s="9"/>
    </row>
    <row r="404" spans="9:9">
      <c r="I404" s="9"/>
    </row>
    <row r="405" spans="9:9">
      <c r="I405" s="9"/>
    </row>
    <row r="406" spans="9:9">
      <c r="I406" s="9"/>
    </row>
    <row r="407" spans="9:9">
      <c r="I407" s="9"/>
    </row>
    <row r="408" spans="9:9">
      <c r="I408" s="9"/>
    </row>
    <row r="412" spans="9:9">
      <c r="I412" s="9"/>
    </row>
    <row r="426" spans="1:8" s="26" customFormat="1">
      <c r="A426" s="1"/>
      <c r="B426" s="1"/>
      <c r="C426" s="1"/>
      <c r="D426" s="1"/>
      <c r="E426" s="1"/>
      <c r="F426" s="1"/>
      <c r="G426" s="1"/>
      <c r="H426" s="1"/>
    </row>
    <row r="438" spans="9:9">
      <c r="I438" s="60"/>
    </row>
  </sheetData>
  <autoFilter ref="A20:Q428"/>
  <customSheetViews>
    <customSheetView guid="{DD9A8EC0-978F-40DB-8504-69866F97ABC3}" showPageBreaks="1" printArea="1" showAutoFilter="1" view="pageBreakPreview" topLeftCell="A267">
      <selection activeCell="G270" sqref="G270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20:Q431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20:Q416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/>
    </customSheetView>
    <customSheetView guid="{63C81512-0323-449A-8D16-969602EE6D8D}" showPageBreaks="1" printArea="1" showAutoFilter="1" view="pageBreakPreview">
      <selection activeCell="D10" sqref="D10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16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20:Q428"/>
    </customSheetView>
  </customSheetViews>
  <mergeCells count="6">
    <mergeCell ref="A19:A20"/>
    <mergeCell ref="D19:D20"/>
    <mergeCell ref="A16:H16"/>
    <mergeCell ref="G10:H10"/>
    <mergeCell ref="E19:F19"/>
    <mergeCell ref="G19:H19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2023-11-10T01:00:36Z</cp:lastPrinted>
  <dcterms:created xsi:type="dcterms:W3CDTF">2004-12-22T00:45:04Z</dcterms:created>
  <dcterms:modified xsi:type="dcterms:W3CDTF">2023-11-20T09:07:14Z</dcterms:modified>
</cp:coreProperties>
</file>