
<file path=[Content_Types].xml><?xml version="1.0" encoding="utf-8"?>
<Types xmlns="http://schemas.openxmlformats.org/package/2006/content-types">
  <Override PartName="/xl/revisions/revisionLog315.xml" ContentType="application/vnd.openxmlformats-officedocument.spreadsheetml.revisionLog+xml"/>
  <Override PartName="/xl/revisions/revisionLog362.xml" ContentType="application/vnd.openxmlformats-officedocument.spreadsheetml.revisionLog+xml"/>
  <Override PartName="/xl/styles.xml" ContentType="application/vnd.openxmlformats-officedocument.spreadsheetml.styles+xml"/>
  <Override PartName="/xl/revisions/revisionLog96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96.xml" ContentType="application/vnd.openxmlformats-officedocument.spreadsheetml.revisionLog+xml"/>
  <Override PartName="/docProps/app.xml" ContentType="application/vnd.openxmlformats-officedocument.extended-properties+xml"/>
  <Override PartName="/xl/revisions/revisionLog14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6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74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192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6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04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1151.xml" ContentType="application/vnd.openxmlformats-officedocument.spreadsheetml.revisionLog+xml"/>
  <Default Extension="bin" ContentType="application/vnd.openxmlformats-officedocument.spreadsheetml.printerSettings"/>
  <Override PartName="/xl/revisions/revisionLog352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8.xml" ContentType="application/vnd.openxmlformats-officedocument.spreadsheetml.revisionLog+xml"/>
  <Override PartName="/xl/workbook.xml" ContentType="application/vnd.openxmlformats-officedocument.spreadsheetml.sheet.main+xml"/>
  <Override PartName="/xl/revisions/revisionLog256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20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138.xml" ContentType="application/vnd.openxmlformats-officedocument.spreadsheetml.revisionLog+xml"/>
  <Override PartName="/xl/theme/theme1.xml" ContentType="application/vnd.openxmlformats-officedocument.theme+xml"/>
  <Override PartName="/xl/revisions/revisionLog116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101.xml" ContentType="application/vnd.openxmlformats-officedocument.spreadsheetml.revisionLog+xml"/>
  <Default Extension="rels" ContentType="application/vnd.openxmlformats-package.relationships+xml"/>
  <Override PartName="/xl/revisions/revisionLog28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64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30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</sheets>
  <definedNames>
    <definedName name="_xlnm._FilterDatabase" localSheetId="0" hidden="1">Ведом.структура!$A$14:$I$493</definedName>
    <definedName name="Top" localSheetId="0">Ведом.структура!#REF!</definedName>
    <definedName name="Z_7AB046A2_2A29_454F_BB23_276250580C29_.wvu.FilterData" localSheetId="0" hidden="1">Ведом.структура!$A$14:$I$493</definedName>
    <definedName name="Z_7AB046A2_2A29_454F_BB23_276250580C29_.wvu.PrintArea" localSheetId="0" hidden="1">Ведом.структура!$A$1:$H$490</definedName>
    <definedName name="Z_801120BA_B954_4593_9604_40DB367A76F1_.wvu.FilterData" localSheetId="0" hidden="1">Ведом.структура!$A$14:$I$493</definedName>
    <definedName name="Z_97D49131_2F31_4758_9B36_E03ACEBCB875_.wvu.FilterData" localSheetId="0" hidden="1">Ведом.структура!$A$14:$I$493</definedName>
    <definedName name="Z_97D49131_2F31_4758_9B36_E03ACEBCB875_.wvu.PrintArea" localSheetId="0" hidden="1">Ведом.структура!$A$1:$H$490</definedName>
    <definedName name="Z_C3AB6D4E_B182_4B4E_9857_CCDAA3BB30EB_.wvu.FilterData" localSheetId="0" hidden="1">Ведом.структура!$A$14:$H$493</definedName>
    <definedName name="Z_D0470EA7_3659_4DDD_ACD1_C0471656C951_.wvu.FilterData" localSheetId="0" hidden="1">Ведом.структура!$A$14:$I$490</definedName>
    <definedName name="Z_DB8DE2AF_87B0_4892_B17C_442F71A49B14_.wvu.FilterData" localSheetId="0" hidden="1">Ведом.структура!$A$14:$I$493</definedName>
    <definedName name="Z_E50FE2FB_E2CD_42FB_A643_54AB564D1B47_.wvu.FilterData" localSheetId="0" hidden="1">Ведом.структура!$A$14:$I$493</definedName>
    <definedName name="Z_E50FE2FB_E2CD_42FB_A643_54AB564D1B47_.wvu.PrintArea" localSheetId="0" hidden="1">Ведом.структура!$A$1:$H$490</definedName>
    <definedName name="Z_E9E577B3_C457_4984_949A_B5AD6CE2E229_.wvu.FilterData" localSheetId="0" hidden="1">Ведом.структура!$A$14:$I$493</definedName>
    <definedName name="Z_E9E577B3_C457_4984_949A_B5AD6CE2E229_.wvu.PrintArea" localSheetId="0" hidden="1">Ведом.структура!$A$1:$H$490</definedName>
    <definedName name="Z_EB0A41C3_EF34_4619_B9DF_F61492617999_.wvu.FilterData" localSheetId="0" hidden="1">Ведом.структура!$A$14:$I$493</definedName>
    <definedName name="Z_EB0A41C3_EF34_4619_B9DF_F61492617999_.wvu.PrintArea" localSheetId="0" hidden="1">Ведом.структура!$A$1:$H$490</definedName>
    <definedName name="_xlnm.Print_Area" localSheetId="0">Ведом.структура!$A$1:$H$490</definedName>
  </definedNames>
  <calcPr calcId="125725"/>
  <customWorkbookViews>
    <customWorkbookView name="БутытоваСГ - Личное представление" guid="{EB0A41C3-EF34-4619-B9DF-F61492617999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0" i="1"/>
  <c r="H498"/>
  <c r="G498"/>
  <c r="G191"/>
  <c r="H187"/>
  <c r="H478"/>
  <c r="G478"/>
  <c r="H251"/>
  <c r="G251"/>
  <c r="H409" l="1"/>
  <c r="G409"/>
  <c r="H391"/>
  <c r="G391"/>
  <c r="H175" l="1"/>
  <c r="G175"/>
  <c r="H321"/>
  <c r="G321"/>
  <c r="H330"/>
  <c r="G330"/>
  <c r="H249"/>
  <c r="G249"/>
  <c r="H248"/>
  <c r="G248"/>
  <c r="H336"/>
  <c r="G336"/>
  <c r="H212"/>
  <c r="H211"/>
  <c r="G212"/>
  <c r="G211"/>
  <c r="H355"/>
  <c r="G355"/>
  <c r="H354"/>
  <c r="G354"/>
  <c r="G390" l="1"/>
  <c r="G389" s="1"/>
  <c r="G388" s="1"/>
  <c r="G387" s="1"/>
  <c r="G386" s="1"/>
  <c r="H390"/>
  <c r="H389" s="1"/>
  <c r="H388" s="1"/>
  <c r="H387" s="1"/>
  <c r="H386" s="1"/>
  <c r="H403"/>
  <c r="H402"/>
  <c r="G403"/>
  <c r="G402"/>
  <c r="G41"/>
  <c r="G40"/>
  <c r="H459"/>
  <c r="H458"/>
  <c r="G459"/>
  <c r="G458"/>
  <c r="G488"/>
  <c r="G487" s="1"/>
  <c r="G486" s="1"/>
  <c r="G485" s="1"/>
  <c r="G484" s="1"/>
  <c r="H487"/>
  <c r="H486" s="1"/>
  <c r="H485" s="1"/>
  <c r="H484" s="1"/>
  <c r="H483" l="1"/>
  <c r="G483"/>
  <c r="G144" l="1"/>
  <c r="H143" l="1"/>
  <c r="H142" s="1"/>
  <c r="H141" s="1"/>
  <c r="H140" s="1"/>
  <c r="G143"/>
  <c r="G142" s="1"/>
  <c r="G141" s="1"/>
  <c r="G140" s="1"/>
  <c r="H477"/>
  <c r="H476" s="1"/>
  <c r="H475" s="1"/>
  <c r="G477"/>
  <c r="G476" s="1"/>
  <c r="G475" s="1"/>
  <c r="H188"/>
  <c r="G188"/>
  <c r="H116" l="1"/>
  <c r="G116"/>
  <c r="H205"/>
  <c r="G205"/>
  <c r="I494"/>
  <c r="I496" s="1"/>
  <c r="H311"/>
  <c r="G311"/>
  <c r="H78" l="1"/>
  <c r="G78"/>
  <c r="H151" l="1"/>
  <c r="G151"/>
  <c r="H150"/>
  <c r="G150"/>
  <c r="H88"/>
  <c r="G88"/>
  <c r="G187" l="1"/>
  <c r="G101"/>
  <c r="G97" s="1"/>
  <c r="H20"/>
  <c r="G20"/>
  <c r="G293"/>
  <c r="H296"/>
  <c r="G296"/>
  <c r="G292" l="1"/>
  <c r="G419" l="1"/>
  <c r="H273"/>
  <c r="G273"/>
  <c r="G353"/>
  <c r="H380"/>
  <c r="G380"/>
  <c r="H376"/>
  <c r="G376"/>
  <c r="G499" l="1"/>
  <c r="H214" l="1"/>
  <c r="G214"/>
  <c r="H173" l="1"/>
  <c r="G173"/>
  <c r="H193"/>
  <c r="G193"/>
  <c r="H195"/>
  <c r="G195"/>
  <c r="H197"/>
  <c r="G197"/>
  <c r="H221"/>
  <c r="G221"/>
  <c r="H304"/>
  <c r="G304"/>
  <c r="H499"/>
  <c r="H95"/>
  <c r="G95"/>
  <c r="H313"/>
  <c r="G313"/>
  <c r="H133" l="1"/>
  <c r="G133"/>
  <c r="H481"/>
  <c r="H480" s="1"/>
  <c r="H479" s="1"/>
  <c r="H474" s="1"/>
  <c r="H472"/>
  <c r="H471" s="1"/>
  <c r="H470" s="1"/>
  <c r="H466"/>
  <c r="H463"/>
  <c r="H457"/>
  <c r="H456" s="1"/>
  <c r="H455" s="1"/>
  <c r="H454" s="1"/>
  <c r="H453" s="1"/>
  <c r="G481"/>
  <c r="G480" s="1"/>
  <c r="G479" s="1"/>
  <c r="G474" s="1"/>
  <c r="G472"/>
  <c r="G471" s="1"/>
  <c r="G470" s="1"/>
  <c r="G466"/>
  <c r="G463"/>
  <c r="G457"/>
  <c r="G456" s="1"/>
  <c r="G455" s="1"/>
  <c r="G454" s="1"/>
  <c r="G453" s="1"/>
  <c r="G115"/>
  <c r="H312"/>
  <c r="G312"/>
  <c r="G237"/>
  <c r="J490"/>
  <c r="J494" s="1"/>
  <c r="J496" s="1"/>
  <c r="G172"/>
  <c r="H172"/>
  <c r="G462" l="1"/>
  <c r="G461" s="1"/>
  <c r="G460" s="1"/>
  <c r="H462"/>
  <c r="H461" s="1"/>
  <c r="H460" s="1"/>
  <c r="H469"/>
  <c r="H468" s="1"/>
  <c r="H452" s="1"/>
  <c r="G469"/>
  <c r="G468" l="1"/>
  <c r="G452" s="1"/>
  <c r="G226" l="1"/>
  <c r="G285"/>
  <c r="H285"/>
  <c r="G210" l="1"/>
  <c r="G310" l="1"/>
  <c r="G309" s="1"/>
  <c r="H132" l="1"/>
  <c r="H131" s="1"/>
  <c r="H130" s="1"/>
  <c r="H129" s="1"/>
  <c r="G132"/>
  <c r="G131" s="1"/>
  <c r="G130" s="1"/>
  <c r="G129" s="1"/>
  <c r="H196"/>
  <c r="G196"/>
  <c r="H157" l="1"/>
  <c r="G157"/>
  <c r="H310" l="1"/>
  <c r="H309" s="1"/>
  <c r="H115"/>
  <c r="H114" s="1"/>
  <c r="H113" s="1"/>
  <c r="H112" s="1"/>
  <c r="G114"/>
  <c r="G113" s="1"/>
  <c r="G112" s="1"/>
  <c r="G111" s="1"/>
  <c r="H111" l="1"/>
  <c r="G33" l="1"/>
  <c r="G25"/>
  <c r="G19" l="1"/>
  <c r="H198" l="1"/>
  <c r="G198"/>
  <c r="H180" l="1"/>
  <c r="G180"/>
  <c r="H397" l="1"/>
  <c r="G397"/>
  <c r="H408" l="1"/>
  <c r="G408"/>
  <c r="G335"/>
  <c r="H186"/>
  <c r="G186"/>
  <c r="H228"/>
  <c r="G228"/>
  <c r="H226"/>
  <c r="H174"/>
  <c r="G174"/>
  <c r="H419" l="1"/>
  <c r="H396"/>
  <c r="G396"/>
  <c r="G247" l="1"/>
  <c r="H170"/>
  <c r="G170"/>
  <c r="H341" l="1"/>
  <c r="G341"/>
  <c r="H335"/>
  <c r="G337"/>
  <c r="G334" l="1"/>
  <c r="G333" s="1"/>
  <c r="H375"/>
  <c r="G375"/>
  <c r="G374" l="1"/>
  <c r="G373" s="1"/>
  <c r="H374"/>
  <c r="H373" s="1"/>
  <c r="H450"/>
  <c r="H449" s="1"/>
  <c r="H448" s="1"/>
  <c r="H447" s="1"/>
  <c r="G450"/>
  <c r="G449" s="1"/>
  <c r="G448" s="1"/>
  <c r="G447" s="1"/>
  <c r="G308" l="1"/>
  <c r="G307" s="1"/>
  <c r="G306" s="1"/>
  <c r="G305" s="1"/>
  <c r="H384"/>
  <c r="H383" s="1"/>
  <c r="H382" s="1"/>
  <c r="H381" s="1"/>
  <c r="G384"/>
  <c r="G383" s="1"/>
  <c r="G382" s="1"/>
  <c r="G381" s="1"/>
  <c r="G152" l="1"/>
  <c r="H190" l="1"/>
  <c r="G190"/>
  <c r="G184"/>
  <c r="G108"/>
  <c r="G107" s="1"/>
  <c r="G106" s="1"/>
  <c r="G105" s="1"/>
  <c r="G104" s="1"/>
  <c r="H184"/>
  <c r="H108"/>
  <c r="H107" s="1"/>
  <c r="H106" s="1"/>
  <c r="H105" s="1"/>
  <c r="H104" s="1"/>
  <c r="H204"/>
  <c r="H203" s="1"/>
  <c r="G204"/>
  <c r="G203" s="1"/>
  <c r="H63"/>
  <c r="H62" s="1"/>
  <c r="H61" s="1"/>
  <c r="G63"/>
  <c r="G62" s="1"/>
  <c r="G61" s="1"/>
  <c r="H25"/>
  <c r="H331"/>
  <c r="H329"/>
  <c r="G331"/>
  <c r="H410"/>
  <c r="H407" s="1"/>
  <c r="G410"/>
  <c r="G407" s="1"/>
  <c r="H210"/>
  <c r="H272"/>
  <c r="H271" s="1"/>
  <c r="H270" s="1"/>
  <c r="H269" s="1"/>
  <c r="H268" s="1"/>
  <c r="H283"/>
  <c r="G272"/>
  <c r="G271" s="1"/>
  <c r="G270" s="1"/>
  <c r="G269" s="1"/>
  <c r="G268" s="1"/>
  <c r="G283"/>
  <c r="H293"/>
  <c r="H292" s="1"/>
  <c r="H300"/>
  <c r="H299" s="1"/>
  <c r="H303"/>
  <c r="H302" s="1"/>
  <c r="G300"/>
  <c r="G299" s="1"/>
  <c r="G291" s="1"/>
  <c r="G303"/>
  <c r="G302" s="1"/>
  <c r="H430"/>
  <c r="H429" s="1"/>
  <c r="G430"/>
  <c r="G429" s="1"/>
  <c r="H75"/>
  <c r="H74" s="1"/>
  <c r="H73" s="1"/>
  <c r="G75"/>
  <c r="G74" s="1"/>
  <c r="G73" s="1"/>
  <c r="H83"/>
  <c r="H89"/>
  <c r="H94"/>
  <c r="H97"/>
  <c r="H96" s="1"/>
  <c r="G83"/>
  <c r="G89"/>
  <c r="G94"/>
  <c r="G96"/>
  <c r="H416"/>
  <c r="H415" s="1"/>
  <c r="H414" s="1"/>
  <c r="H413" s="1"/>
  <c r="G416"/>
  <c r="G415" s="1"/>
  <c r="G414" s="1"/>
  <c r="G413" s="1"/>
  <c r="H395"/>
  <c r="H379"/>
  <c r="G395"/>
  <c r="H350"/>
  <c r="H353"/>
  <c r="G350"/>
  <c r="H320"/>
  <c r="H322"/>
  <c r="G320"/>
  <c r="G322"/>
  <c r="H244"/>
  <c r="H247"/>
  <c r="H242"/>
  <c r="H237"/>
  <c r="H236" s="1"/>
  <c r="H235" s="1"/>
  <c r="H257"/>
  <c r="H256" s="1"/>
  <c r="H260"/>
  <c r="H259" s="1"/>
  <c r="G244"/>
  <c r="G242"/>
  <c r="G257"/>
  <c r="G256" s="1"/>
  <c r="G260"/>
  <c r="G259" s="1"/>
  <c r="H213"/>
  <c r="G213"/>
  <c r="G209" s="1"/>
  <c r="H168"/>
  <c r="H167" s="1"/>
  <c r="G168"/>
  <c r="G167" s="1"/>
  <c r="H138"/>
  <c r="H137" s="1"/>
  <c r="H136" s="1"/>
  <c r="H135" s="1"/>
  <c r="H147"/>
  <c r="H152"/>
  <c r="G138"/>
  <c r="G137" s="1"/>
  <c r="G136" s="1"/>
  <c r="G135" s="1"/>
  <c r="G147"/>
  <c r="G146" s="1"/>
  <c r="H308"/>
  <c r="H307" s="1"/>
  <c r="H306" s="1"/>
  <c r="H305" s="1"/>
  <c r="H56"/>
  <c r="H55" s="1"/>
  <c r="G56"/>
  <c r="G55" s="1"/>
  <c r="H33"/>
  <c r="H32" s="1"/>
  <c r="H31" s="1"/>
  <c r="H30" s="1"/>
  <c r="H39"/>
  <c r="H38" s="1"/>
  <c r="H37" s="1"/>
  <c r="H36" s="1"/>
  <c r="H48"/>
  <c r="H46" s="1"/>
  <c r="H53"/>
  <c r="H52" s="1"/>
  <c r="H58"/>
  <c r="H67"/>
  <c r="H66" s="1"/>
  <c r="H65" s="1"/>
  <c r="H71"/>
  <c r="H70" s="1"/>
  <c r="H69" s="1"/>
  <c r="H44"/>
  <c r="H43" s="1"/>
  <c r="H42" s="1"/>
  <c r="H120"/>
  <c r="H119" s="1"/>
  <c r="H118" s="1"/>
  <c r="H124"/>
  <c r="H123" s="1"/>
  <c r="H122" s="1"/>
  <c r="H127"/>
  <c r="H126" s="1"/>
  <c r="H182"/>
  <c r="H194"/>
  <c r="H192"/>
  <c r="H201"/>
  <c r="H200" s="1"/>
  <c r="H230"/>
  <c r="H220"/>
  <c r="H219" s="1"/>
  <c r="H265"/>
  <c r="H264" s="1"/>
  <c r="H263" s="1"/>
  <c r="H262" s="1"/>
  <c r="H340"/>
  <c r="H339" s="1"/>
  <c r="H337"/>
  <c r="H344"/>
  <c r="H343" s="1"/>
  <c r="H361"/>
  <c r="H360" s="1"/>
  <c r="H359" s="1"/>
  <c r="H366"/>
  <c r="H365" s="1"/>
  <c r="H364" s="1"/>
  <c r="H363" s="1"/>
  <c r="H433"/>
  <c r="H435"/>
  <c r="H438"/>
  <c r="H440"/>
  <c r="H444"/>
  <c r="H443" s="1"/>
  <c r="G32"/>
  <c r="G31" s="1"/>
  <c r="G30" s="1"/>
  <c r="G39"/>
  <c r="G38" s="1"/>
  <c r="G37" s="1"/>
  <c r="G36" s="1"/>
  <c r="G48"/>
  <c r="G46" s="1"/>
  <c r="G53"/>
  <c r="G52" s="1"/>
  <c r="G58"/>
  <c r="G67"/>
  <c r="G66" s="1"/>
  <c r="G65" s="1"/>
  <c r="G71"/>
  <c r="G70" s="1"/>
  <c r="G69" s="1"/>
  <c r="G44"/>
  <c r="G43" s="1"/>
  <c r="G42" s="1"/>
  <c r="G120"/>
  <c r="G119" s="1"/>
  <c r="G118" s="1"/>
  <c r="G124"/>
  <c r="G123" s="1"/>
  <c r="G122" s="1"/>
  <c r="G127"/>
  <c r="G126" s="1"/>
  <c r="G182"/>
  <c r="G194"/>
  <c r="G192"/>
  <c r="G201"/>
  <c r="G200" s="1"/>
  <c r="G230"/>
  <c r="G225" s="1"/>
  <c r="G220"/>
  <c r="G218" s="1"/>
  <c r="G217" s="1"/>
  <c r="G216" s="1"/>
  <c r="G265"/>
  <c r="G264" s="1"/>
  <c r="G263" s="1"/>
  <c r="G262" s="1"/>
  <c r="G340"/>
  <c r="G339" s="1"/>
  <c r="G329"/>
  <c r="G344"/>
  <c r="G343" s="1"/>
  <c r="G361"/>
  <c r="G360" s="1"/>
  <c r="G359" s="1"/>
  <c r="G366"/>
  <c r="G365" s="1"/>
  <c r="G364" s="1"/>
  <c r="G363" s="1"/>
  <c r="G379"/>
  <c r="G433"/>
  <c r="G435"/>
  <c r="G438"/>
  <c r="G440"/>
  <c r="G444"/>
  <c r="G443" s="1"/>
  <c r="H59"/>
  <c r="G59"/>
  <c r="G179" l="1"/>
  <c r="G178" s="1"/>
  <c r="H241"/>
  <c r="G241"/>
  <c r="G240" s="1"/>
  <c r="H209"/>
  <c r="H208" s="1"/>
  <c r="H206" s="1"/>
  <c r="H179"/>
  <c r="H240"/>
  <c r="G378"/>
  <c r="G377" s="1"/>
  <c r="H378"/>
  <c r="H377" s="1"/>
  <c r="H428"/>
  <c r="G428"/>
  <c r="G166"/>
  <c r="G165" s="1"/>
  <c r="G164" s="1"/>
  <c r="H117"/>
  <c r="H110" s="1"/>
  <c r="G117"/>
  <c r="G110" s="1"/>
  <c r="G432"/>
  <c r="G282"/>
  <c r="G281" s="1"/>
  <c r="G280" s="1"/>
  <c r="G279" s="1"/>
  <c r="G278" s="1"/>
  <c r="G267" s="1"/>
  <c r="H51"/>
  <c r="G319"/>
  <c r="G318" s="1"/>
  <c r="G317" s="1"/>
  <c r="G316" s="1"/>
  <c r="G349"/>
  <c r="G348" s="1"/>
  <c r="G347" s="1"/>
  <c r="G346" s="1"/>
  <c r="G51"/>
  <c r="G77"/>
  <c r="G328"/>
  <c r="G327" s="1"/>
  <c r="G326" s="1"/>
  <c r="H77"/>
  <c r="G290"/>
  <c r="G289" s="1"/>
  <c r="G288" s="1"/>
  <c r="H146"/>
  <c r="H145" s="1"/>
  <c r="H134" s="1"/>
  <c r="G412"/>
  <c r="G208"/>
  <c r="G206" s="1"/>
  <c r="H166"/>
  <c r="H165" s="1"/>
  <c r="H164" s="1"/>
  <c r="H349"/>
  <c r="H348" s="1"/>
  <c r="H347" s="1"/>
  <c r="H328"/>
  <c r="H327" s="1"/>
  <c r="H334"/>
  <c r="H333" s="1"/>
  <c r="H319"/>
  <c r="H318" s="1"/>
  <c r="H317" s="1"/>
  <c r="H316" s="1"/>
  <c r="G236"/>
  <c r="G235" s="1"/>
  <c r="G401"/>
  <c r="G47"/>
  <c r="G18"/>
  <c r="G17" s="1"/>
  <c r="G16" s="1"/>
  <c r="G15" s="1"/>
  <c r="G145"/>
  <c r="G134" s="1"/>
  <c r="H401"/>
  <c r="H432"/>
  <c r="G219"/>
  <c r="G224"/>
  <c r="G223" s="1"/>
  <c r="G222" s="1"/>
  <c r="H218"/>
  <c r="H217" s="1"/>
  <c r="H216" s="1"/>
  <c r="H225"/>
  <c r="H224" s="1"/>
  <c r="H223" s="1"/>
  <c r="H222" s="1"/>
  <c r="H406"/>
  <c r="H405" s="1"/>
  <c r="H404" s="1"/>
  <c r="H19"/>
  <c r="H18" s="1"/>
  <c r="H17" s="1"/>
  <c r="H16" s="1"/>
  <c r="H15" s="1"/>
  <c r="H47"/>
  <c r="H412"/>
  <c r="G406"/>
  <c r="G405" s="1"/>
  <c r="G404" s="1"/>
  <c r="G255"/>
  <c r="H255"/>
  <c r="H282"/>
  <c r="H281" s="1"/>
  <c r="H280" s="1"/>
  <c r="H279" s="1"/>
  <c r="H278" s="1"/>
  <c r="H267" s="1"/>
  <c r="H291"/>
  <c r="H290" s="1"/>
  <c r="H289" s="1"/>
  <c r="H288" s="1"/>
  <c r="H50" l="1"/>
  <c r="H29" s="1"/>
  <c r="G234"/>
  <c r="G233" s="1"/>
  <c r="G50"/>
  <c r="G29" s="1"/>
  <c r="H427"/>
  <c r="H426" s="1"/>
  <c r="H425" s="1"/>
  <c r="G427"/>
  <c r="G426" s="1"/>
  <c r="G425" s="1"/>
  <c r="H372"/>
  <c r="H371" s="1"/>
  <c r="H370" s="1"/>
  <c r="G372"/>
  <c r="G371" s="1"/>
  <c r="G370" s="1"/>
  <c r="H287"/>
  <c r="G287"/>
  <c r="G315"/>
  <c r="H315"/>
  <c r="H400"/>
  <c r="H399" s="1"/>
  <c r="H394" s="1"/>
  <c r="G400"/>
  <c r="G399" s="1"/>
  <c r="G394" s="1"/>
  <c r="G325"/>
  <c r="H346"/>
  <c r="H326"/>
  <c r="H325" s="1"/>
  <c r="H234"/>
  <c r="H233" s="1"/>
  <c r="H207"/>
  <c r="G207"/>
  <c r="H178"/>
  <c r="H177" s="1"/>
  <c r="H176" s="1"/>
  <c r="G177"/>
  <c r="G176" s="1"/>
  <c r="G393" l="1"/>
  <c r="G392" s="1"/>
  <c r="H393"/>
  <c r="H392" s="1"/>
  <c r="H369" s="1"/>
  <c r="G324"/>
  <c r="G314" s="1"/>
  <c r="H28"/>
  <c r="G28"/>
  <c r="H324"/>
  <c r="H314" s="1"/>
  <c r="H163"/>
  <c r="G163"/>
  <c r="G162" s="1"/>
  <c r="G369" l="1"/>
  <c r="G490" s="1"/>
  <c r="G494" s="1"/>
  <c r="H162"/>
  <c r="H490" s="1"/>
  <c r="H501" s="1"/>
  <c r="G501" l="1"/>
  <c r="H494"/>
</calcChain>
</file>

<file path=xl/sharedStrings.xml><?xml version="1.0" encoding="utf-8"?>
<sst xmlns="http://schemas.openxmlformats.org/spreadsheetml/2006/main" count="2258" uniqueCount="514">
  <si>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</si>
  <si>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</si>
  <si>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</si>
  <si>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</si>
  <si>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</si>
  <si>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</si>
  <si>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</si>
  <si>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</si>
  <si>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</si>
  <si>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</si>
  <si>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</si>
  <si>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</si>
  <si>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</si>
  <si>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</si>
  <si>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</si>
  <si>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</si>
  <si>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</si>
  <si>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</si>
  <si>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</si>
  <si>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</si>
  <si>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</si>
  <si>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</si>
  <si>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</si>
  <si>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</si>
  <si>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</si>
  <si>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</si>
  <si>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</si>
  <si>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</si>
  <si>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</si>
  <si>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</si>
  <si>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</si>
  <si>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</si>
  <si>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</si>
  <si>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</si>
  <si>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</si>
  <si>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</si>
  <si>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</si>
  <si>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</si>
  <si>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</si>
  <si>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</si>
  <si>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</si>
  <si>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</si>
  <si>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</si>
  <si>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</si>
  <si>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</si>
  <si>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</si>
  <si>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</si>
  <si>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</si>
  <si>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</si>
  <si>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</si>
  <si>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</si>
  <si>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</si>
  <si>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</si>
  <si>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</si>
  <si>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</si>
  <si>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</si>
  <si>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</si>
  <si>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</si>
  <si>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</si>
  <si>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</si>
  <si>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</si>
  <si>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</si>
  <si>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</si>
  <si>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</si>
  <si>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</si>
  <si>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</si>
  <si>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</si>
  <si>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</si>
  <si>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</si>
  <si>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</si>
  <si>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</si>
  <si>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</si>
  <si>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</si>
  <si>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</si>
  <si>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</si>
  <si>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</si>
  <si>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</si>
  <si>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</si>
  <si>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</si>
  <si>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</si>
  <si>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</si>
  <si>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</si>
  <si>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</si>
  <si>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</si>
  <si>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</si>
  <si>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</si>
  <si>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</si>
  <si>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</si>
  <si>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</si>
  <si>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</si>
  <si>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</si>
  <si>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</si>
  <si>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</si>
  <si>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</si>
  <si>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</si>
  <si>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</si>
  <si>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</si>
  <si>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</si>
  <si>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</si>
  <si>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</si>
  <si>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</si>
  <si>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</si>
  <si>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</si>
  <si>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</si>
  <si>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</si>
  <si>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</si>
  <si>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</si>
  <si>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</si>
  <si>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</si>
  <si>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</si>
  <si>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</si>
  <si>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</si>
  <si>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</si>
  <si>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</si>
  <si>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</si>
  <si>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</si>
  <si>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</si>
  <si>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</si>
  <si>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</si>
  <si>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</si>
  <si>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</si>
  <si>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</si>
  <si>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</si>
  <si>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</si>
  <si>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</si>
  <si>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</si>
  <si>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</si>
  <si>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</si>
  <si>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</si>
  <si>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</si>
  <si>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</si>
  <si>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</si>
  <si>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</si>
  <si>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</si>
  <si>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</si>
  <si>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</si>
  <si>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</si>
  <si>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</si>
  <si>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</si>
  <si>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</si>
  <si>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</si>
  <si>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</si>
  <si>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</si>
  <si>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</si>
  <si>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</si>
  <si>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</si>
  <si>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</si>
  <si>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</si>
  <si>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</si>
  <si>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</si>
  <si>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</si>
  <si>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</si>
  <si>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</si>
  <si>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</si>
  <si>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</si>
  <si>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</si>
  <si>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</si>
  <si>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</si>
  <si>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</si>
  <si>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</si>
  <si>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</si>
  <si>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</si>
  <si>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</si>
  <si>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</si>
  <si>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</si>
  <si>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</si>
  <si>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</si>
  <si>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</si>
  <si>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</si>
  <si>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</si>
  <si>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</si>
  <si>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</si>
  <si>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</si>
  <si>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</si>
  <si>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</si>
  <si>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</si>
  <si>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</si>
  <si>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</si>
  <si>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</si>
  <si>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</si>
  <si>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</si>
  <si>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</si>
  <si>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</si>
  <si>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</si>
  <si>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</si>
  <si>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</si>
  <si>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</si>
  <si>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</si>
  <si>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</si>
  <si>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</si>
  <si>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</si>
  <si>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</si>
  <si>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</si>
  <si>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</si>
  <si>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</si>
  <si>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</si>
  <si>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</si>
  <si>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</si>
  <si>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</si>
  <si>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</si>
  <si>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</si>
  <si>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</si>
  <si>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</si>
  <si>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</si>
  <si>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</si>
  <si>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</si>
  <si>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</si>
  <si>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</si>
  <si>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</si>
  <si>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</si>
  <si>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</si>
  <si>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</si>
  <si>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</si>
  <si>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</si>
  <si>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</si>
  <si>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</si>
  <si>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</si>
  <si>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</si>
  <si>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</si>
  <si>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</si>
  <si>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</si>
  <si>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</si>
  <si>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</si>
  <si>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</si>
  <si>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</si>
  <si>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</si>
  <si>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</si>
  <si>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</si>
  <si>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</si>
  <si>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</si>
  <si>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</si>
  <si>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</si>
  <si>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</si>
  <si>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</si>
  <si>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</si>
  <si>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</si>
  <si>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</si>
  <si>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</si>
  <si>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</si>
  <si>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</si>
  <si>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</si>
  <si>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</si>
  <si>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</si>
  <si>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</si>
  <si>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</si>
  <si>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</si>
  <si>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</si>
  <si>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</si>
  <si>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</si>
  <si>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</si>
  <si>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</si>
  <si>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</si>
  <si>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</si>
  <si>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</si>
  <si>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</si>
  <si>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</si>
  <si>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</si>
  <si>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</si>
  <si>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</si>
  <si>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</si>
  <si>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</si>
  <si>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</si>
  <si>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</si>
  <si>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</si>
  <si>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</si>
  <si>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</si>
  <si>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</si>
  <si>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</si>
  <si>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</si>
  <si>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</si>
  <si>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</si>
  <si>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</si>
  <si>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</si>
  <si>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</si>
  <si>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</si>
  <si>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</si>
  <si>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</si>
  <si>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</si>
  <si>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</si>
  <si>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</si>
  <si>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</si>
  <si>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</si>
  <si>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</si>
  <si>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</si>
  <si>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</si>
  <si>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</si>
  <si>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</si>
  <si>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</si>
  <si>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</si>
  <si>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</si>
  <si>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</si>
  <si>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</si>
  <si>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</si>
  <si>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</si>
  <si>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</si>
  <si>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</si>
  <si>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</si>
  <si>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</si>
  <si>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</si>
  <si>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</si>
  <si>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</si>
  <si>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</si>
  <si>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</si>
  <si>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</si>
  <si>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</si>
  <si>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</si>
  <si>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</si>
  <si>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</si>
  <si>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</si>
  <si>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</si>
  <si>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</si>
  <si>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</si>
  <si>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</si>
  <si>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</si>
  <si>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</si>
  <si>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</si>
  <si>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</si>
  <si>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</si>
  <si>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</si>
  <si>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</si>
  <si>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</si>
  <si>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</si>
  <si>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</si>
  <si>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</si>
  <si>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</si>
  <si>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</si>
  <si>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</si>
  <si>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</si>
  <si>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</si>
  <si>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</si>
  <si>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</si>
  <si>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</si>
  <si>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</si>
  <si>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</si>
  <si>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</si>
  <si>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</si>
  <si>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</si>
  <si>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</si>
  <si>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</si>
  <si>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</si>
  <si>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</si>
  <si>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</si>
  <si>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</si>
  <si>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</si>
  <si>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</si>
  <si>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</si>
  <si>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</si>
  <si>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</si>
  <si>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</si>
  <si>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</si>
  <si>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</si>
  <si>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</si>
  <si>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</si>
  <si>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</si>
  <si>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</si>
  <si>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</si>
  <si>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</si>
  <si>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</si>
  <si>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</si>
  <si>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</si>
  <si>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</si>
  <si>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</si>
  <si>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</si>
  <si>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</si>
  <si>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</si>
  <si>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</si>
  <si>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</si>
  <si>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</si>
  <si>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</si>
  <si>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</si>
  <si>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</si>
  <si>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</si>
  <si>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</si>
  <si>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</si>
  <si>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</si>
  <si>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</si>
  <si>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</si>
  <si>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</si>
  <si>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</si>
  <si>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</si>
  <si>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</si>
  <si>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</si>
  <si>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</si>
  <si>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</si>
  <si>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</si>
  <si>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</si>
  <si>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</si>
  <si>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</si>
  <si>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</si>
  <si>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</si>
  <si>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</si>
  <si>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</si>
  <si>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</si>
  <si>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</si>
  <si>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</si>
  <si>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</si>
  <si>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</si>
  <si>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</si>
  <si>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</si>
  <si>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</si>
  <si>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</si>
  <si>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</si>
  <si>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</si>
  <si>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</si>
  <si>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</si>
  <si>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</si>
  <si>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</si>
  <si>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</si>
  <si>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</si>
  <si>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</si>
  <si>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</si>
  <si>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</si>
  <si>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</si>
  <si>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</si>
  <si>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</si>
  <si>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</si>
  <si>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</si>
  <si>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</si>
  <si>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</si>
  <si>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</si>
  <si>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</si>
  <si>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</si>
  <si>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</si>
  <si>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</si>
  <si>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</si>
  <si>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</si>
  <si>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</si>
  <si>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</si>
  <si>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</si>
  <si>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</si>
  <si>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</si>
  <si>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</si>
  <si>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</si>
  <si>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</si>
  <si>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</si>
  <si>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</si>
  <si>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</si>
  <si>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</si>
  <si>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</si>
  <si>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</si>
  <si>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</si>
  <si>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</si>
  <si>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</si>
  <si>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</si>
  <si>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</si>
  <si>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</si>
  <si>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</si>
  <si>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</si>
  <si>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</si>
  <si>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</si>
  <si>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09101 00000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</si>
  <si>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</si>
  <si>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выплаты персоналу государственных (муниципальных) органов, за исключением фонда оплаты труда</t>
  </si>
  <si>
    <t>122</t>
  </si>
  <si>
    <t>09200 00000</t>
  </si>
  <si>
    <t>10201 L3030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</si>
  <si>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</si>
  <si>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</si>
  <si>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10201 S2К90</t>
  </si>
  <si>
    <t>04304 9Д005</t>
  </si>
  <si>
    <t>043R1 9Д001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</si>
  <si>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</si>
  <si>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</si>
  <si>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</si>
  <si>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</si>
  <si>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</si>
  <si>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Муниципальная программа "Чистая вода на 2020-2025 годы"</t>
  </si>
  <si>
    <t>17000 00000</t>
  </si>
  <si>
    <t>Основное мероприятие "Улучшение качества питьевой воды"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</si>
  <si>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</si>
  <si>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</si>
  <si>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</si>
  <si>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321</t>
  </si>
  <si>
    <t>Пособия, компенсации и иные социальные выплаты гражданам, кроме публичных нормативных обязательств</t>
  </si>
  <si>
    <t>собсв</t>
  </si>
  <si>
    <t>безвозм</t>
  </si>
  <si>
    <t>итого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</si>
  <si>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</si>
  <si>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</si>
  <si>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</si>
  <si>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</si>
  <si>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</si>
  <si>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дот</t>
  </si>
  <si>
    <t>сиро</t>
  </si>
  <si>
    <t>безв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</si>
  <si>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</si>
  <si>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</si>
  <si>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</si>
  <si>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</si>
  <si>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</si>
  <si>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160F2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</si>
  <si>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</si>
  <si>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</si>
  <si>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МП «Комплексное развитие сельских территорий в Селенгинском районе на 2023-2025 годы»</t>
  </si>
  <si>
    <t>Реализация мероприятий по строительству жилья, предоставляемого по договору найма жилого помещения</t>
  </si>
  <si>
    <t>06040 00000</t>
  </si>
  <si>
    <t>Обеспечение комплексного развития сельских территорий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</si>
  <si>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</si>
  <si>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</si>
  <si>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</si>
  <si>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</si>
  <si>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</si>
  <si>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</si>
  <si>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</si>
  <si>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</si>
  <si>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</si>
  <si>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</si>
  <si>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</si>
  <si>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</si>
  <si>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</si>
  <si>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</si>
  <si>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</si>
  <si>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>от "___" декабря 2024 №___</t>
  </si>
  <si>
    <t>Ведомственная структура расходов местного бюджета на 2026-2027 годы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</si>
</sst>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</numFmts>
  <fonts count="22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1" applyNumberFormat="1" applyFont="1" applyAlignment="1">
      <alignment wrapText="1"/>
    </xf>
    <xf numFmtId="164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4" fontId="6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43" fontId="1" fillId="0" borderId="0" xfId="0" applyNumberFormat="1" applyFont="1" applyAlignment="1">
      <alignment wrapText="1"/>
    </xf>
    <xf numFmtId="43" fontId="1" fillId="0" borderId="0" xfId="1" applyFont="1" applyAlignment="1">
      <alignment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/>
    </xf>
    <xf numFmtId="167" fontId="1" fillId="0" borderId="0" xfId="0" applyNumberFormat="1" applyFont="1" applyAlignment="1">
      <alignment wrapText="1"/>
    </xf>
    <xf numFmtId="167" fontId="1" fillId="0" borderId="0" xfId="1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8" borderId="0" xfId="0" applyFont="1" applyFill="1" applyAlignment="1">
      <alignment horizontal="right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303" Type="http://schemas.openxmlformats.org/officeDocument/2006/relationships/revisionLog" Target="revisionLog11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366" Type="http://schemas.openxmlformats.org/officeDocument/2006/relationships/revisionLog" Target="revisionLog328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7.xml"/><Relationship Id="rId387" Type="http://schemas.openxmlformats.org/officeDocument/2006/relationships/revisionLog" Target="revisionLog349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377" Type="http://schemas.openxmlformats.org/officeDocument/2006/relationships/revisionLog" Target="revisionLog339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356" Type="http://schemas.openxmlformats.org/officeDocument/2006/relationships/revisionLog" Target="revisionLog318.xml"/><Relationship Id="rId398" Type="http://schemas.openxmlformats.org/officeDocument/2006/relationships/revisionLog" Target="revisionLog360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402" Type="http://schemas.openxmlformats.org/officeDocument/2006/relationships/revisionLog" Target="revisionLog364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.xml"/><Relationship Id="rId346" Type="http://schemas.openxmlformats.org/officeDocument/2006/relationships/revisionLog" Target="revisionLog308.xml"/><Relationship Id="rId388" Type="http://schemas.openxmlformats.org/officeDocument/2006/relationships/revisionLog" Target="revisionLog350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367" Type="http://schemas.openxmlformats.org/officeDocument/2006/relationships/revisionLog" Target="revisionLog329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57" Type="http://schemas.openxmlformats.org/officeDocument/2006/relationships/revisionLog" Target="revisionLog319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399" Type="http://schemas.openxmlformats.org/officeDocument/2006/relationships/revisionLog" Target="revisionLog361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378" Type="http://schemas.openxmlformats.org/officeDocument/2006/relationships/revisionLog" Target="revisionLog340.xml"/><Relationship Id="rId403" Type="http://schemas.openxmlformats.org/officeDocument/2006/relationships/revisionLog" Target="revisionLog365.xml"/><Relationship Id="rId259" Type="http://schemas.openxmlformats.org/officeDocument/2006/relationships/revisionLog" Target="revisionLog223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9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368" Type="http://schemas.openxmlformats.org/officeDocument/2006/relationships/revisionLog" Target="revisionLog330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389" Type="http://schemas.openxmlformats.org/officeDocument/2006/relationships/revisionLog" Target="revisionLog351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281" Type="http://schemas.openxmlformats.org/officeDocument/2006/relationships/revisionLog" Target="revisionLog245.xml"/><Relationship Id="rId337" Type="http://schemas.openxmlformats.org/officeDocument/2006/relationships/revisionLog" Target="revisionLog299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76" Type="http://schemas.openxmlformats.org/officeDocument/2006/relationships/revisionLog" Target="revisionLog25.xml"/><Relationship Id="rId141" Type="http://schemas.openxmlformats.org/officeDocument/2006/relationships/revisionLog" Target="revisionLog105.xml"/><Relationship Id="rId379" Type="http://schemas.openxmlformats.org/officeDocument/2006/relationships/revisionLog" Target="revisionLog341.xml"/><Relationship Id="rId55" Type="http://schemas.openxmlformats.org/officeDocument/2006/relationships/revisionLog" Target="revisionLog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358" Type="http://schemas.openxmlformats.org/officeDocument/2006/relationships/revisionLog" Target="revisionLog320.xml"/><Relationship Id="rId183" Type="http://schemas.openxmlformats.org/officeDocument/2006/relationships/revisionLog" Target="revisionLog153.xml"/><Relationship Id="rId239" Type="http://schemas.openxmlformats.org/officeDocument/2006/relationships/revisionLog" Target="revisionLog203.xml"/><Relationship Id="rId390" Type="http://schemas.openxmlformats.org/officeDocument/2006/relationships/revisionLog" Target="revisionLog352.xml"/><Relationship Id="rId404" Type="http://schemas.openxmlformats.org/officeDocument/2006/relationships/revisionLog" Target="revisionLog366.xml"/><Relationship Id="rId162" Type="http://schemas.openxmlformats.org/officeDocument/2006/relationships/revisionLog" Target="revisionLog130.xml"/><Relationship Id="rId218" Type="http://schemas.openxmlformats.org/officeDocument/2006/relationships/revisionLog" Target="revisionLog183.xml"/><Relationship Id="rId250" Type="http://schemas.openxmlformats.org/officeDocument/2006/relationships/revisionLog" Target="revisionLog214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271" Type="http://schemas.openxmlformats.org/officeDocument/2006/relationships/revisionLog" Target="revisionLog235.xml"/><Relationship Id="rId45" Type="http://schemas.openxmlformats.org/officeDocument/2006/relationships/revisionLog" Target="revisionLog44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348" Type="http://schemas.openxmlformats.org/officeDocument/2006/relationships/revisionLog" Target="revisionLog310.xml"/><Relationship Id="rId66" Type="http://schemas.openxmlformats.org/officeDocument/2006/relationships/revisionLog" Target="revisionLog1711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69" Type="http://schemas.openxmlformats.org/officeDocument/2006/relationships/revisionLog" Target="revisionLog331.xml"/><Relationship Id="rId152" Type="http://schemas.openxmlformats.org/officeDocument/2006/relationships/revisionLog" Target="revisionLog119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173" Type="http://schemas.openxmlformats.org/officeDocument/2006/relationships/revisionLog" Target="revisionLog143.xml"/><Relationship Id="rId229" Type="http://schemas.openxmlformats.org/officeDocument/2006/relationships/revisionLog" Target="revisionLog193.xml"/><Relationship Id="rId380" Type="http://schemas.openxmlformats.org/officeDocument/2006/relationships/revisionLog" Target="revisionLog342.xml"/><Relationship Id="rId261" Type="http://schemas.openxmlformats.org/officeDocument/2006/relationships/revisionLog" Target="revisionLog225.xml"/><Relationship Id="rId240" Type="http://schemas.openxmlformats.org/officeDocument/2006/relationships/revisionLog" Target="revisionLog204.xml"/><Relationship Id="rId56" Type="http://schemas.openxmlformats.org/officeDocument/2006/relationships/revisionLog" Target="revisionLog6.xml"/><Relationship Id="rId317" Type="http://schemas.openxmlformats.org/officeDocument/2006/relationships/revisionLog" Target="revisionLog279.xml"/><Relationship Id="rId359" Type="http://schemas.openxmlformats.org/officeDocument/2006/relationships/revisionLog" Target="revisionLog321.xml"/><Relationship Id="rId35" Type="http://schemas.openxmlformats.org/officeDocument/2006/relationships/revisionLog" Target="revisionLog34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38" Type="http://schemas.openxmlformats.org/officeDocument/2006/relationships/revisionLog" Target="revisionLog300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63" Type="http://schemas.openxmlformats.org/officeDocument/2006/relationships/revisionLog" Target="revisionLog132.xml"/><Relationship Id="rId219" Type="http://schemas.openxmlformats.org/officeDocument/2006/relationships/revisionLog" Target="revisionLog184.xml"/><Relationship Id="rId370" Type="http://schemas.openxmlformats.org/officeDocument/2006/relationships/revisionLog" Target="revisionLog332.xml"/><Relationship Id="rId142" Type="http://schemas.openxmlformats.org/officeDocument/2006/relationships/revisionLog" Target="revisionLog106.xml"/><Relationship Id="rId184" Type="http://schemas.openxmlformats.org/officeDocument/2006/relationships/revisionLog" Target="revisionLog154.xml"/><Relationship Id="rId391" Type="http://schemas.openxmlformats.org/officeDocument/2006/relationships/revisionLog" Target="revisionLog353.xml"/><Relationship Id="rId405" Type="http://schemas.openxmlformats.org/officeDocument/2006/relationships/revisionLog" Target="revisionLog36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67" Type="http://schemas.openxmlformats.org/officeDocument/2006/relationships/revisionLog" Target="revisionLog131.xml"/><Relationship Id="rId272" Type="http://schemas.openxmlformats.org/officeDocument/2006/relationships/revisionLog" Target="revisionLog236.xml"/><Relationship Id="rId328" Type="http://schemas.openxmlformats.org/officeDocument/2006/relationships/revisionLog" Target="revisionLog290.xml"/><Relationship Id="rId46" Type="http://schemas.openxmlformats.org/officeDocument/2006/relationships/revisionLog" Target="revisionLog45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49" Type="http://schemas.openxmlformats.org/officeDocument/2006/relationships/revisionLog" Target="revisionLog311.xml"/><Relationship Id="rId132" Type="http://schemas.openxmlformats.org/officeDocument/2006/relationships/revisionLog" Target="revisionLog98.xml"/><Relationship Id="rId174" Type="http://schemas.openxmlformats.org/officeDocument/2006/relationships/revisionLog" Target="revisionLog144.xml"/><Relationship Id="rId381" Type="http://schemas.openxmlformats.org/officeDocument/2006/relationships/revisionLog" Target="revisionLog343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53" Type="http://schemas.openxmlformats.org/officeDocument/2006/relationships/revisionLog" Target="revisionLog120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360" Type="http://schemas.openxmlformats.org/officeDocument/2006/relationships/revisionLog" Target="revisionLog322.xml"/><Relationship Id="rId241" Type="http://schemas.openxmlformats.org/officeDocument/2006/relationships/revisionLog" Target="revisionLog205.xml"/><Relationship Id="rId220" Type="http://schemas.openxmlformats.org/officeDocument/2006/relationships/revisionLog" Target="revisionLog185.xml"/><Relationship Id="rId36" Type="http://schemas.openxmlformats.org/officeDocument/2006/relationships/revisionLog" Target="revisionLog35.xml"/><Relationship Id="rId283" Type="http://schemas.openxmlformats.org/officeDocument/2006/relationships/revisionLog" Target="revisionLog247.xml"/><Relationship Id="rId339" Type="http://schemas.openxmlformats.org/officeDocument/2006/relationships/revisionLog" Target="revisionLog301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318" Type="http://schemas.openxmlformats.org/officeDocument/2006/relationships/revisionLog" Target="revisionLog280.xml"/><Relationship Id="rId78" Type="http://schemas.openxmlformats.org/officeDocument/2006/relationships/revisionLog" Target="revisionLog27.xml"/><Relationship Id="rId101" Type="http://schemas.openxmlformats.org/officeDocument/2006/relationships/revisionLog" Target="revisionLog67.xml"/><Relationship Id="rId143" Type="http://schemas.openxmlformats.org/officeDocument/2006/relationships/revisionLog" Target="revisionLog107.xml"/><Relationship Id="rId185" Type="http://schemas.openxmlformats.org/officeDocument/2006/relationships/revisionLog" Target="revisionLog155.xml"/><Relationship Id="rId350" Type="http://schemas.openxmlformats.org/officeDocument/2006/relationships/revisionLog" Target="revisionLog312.xml"/><Relationship Id="rId406" Type="http://schemas.openxmlformats.org/officeDocument/2006/relationships/revisionLog" Target="revisionLog368.xml"/><Relationship Id="rId99" Type="http://schemas.openxmlformats.org/officeDocument/2006/relationships/revisionLog" Target="revisionLog65.xml"/><Relationship Id="rId122" Type="http://schemas.openxmlformats.org/officeDocument/2006/relationships/revisionLog" Target="revisionLog88.xml"/><Relationship Id="rId164" Type="http://schemas.openxmlformats.org/officeDocument/2006/relationships/revisionLog" Target="revisionLog133.xml"/><Relationship Id="rId371" Type="http://schemas.openxmlformats.org/officeDocument/2006/relationships/revisionLog" Target="revisionLog333.xml"/><Relationship Id="rId210" Type="http://schemas.openxmlformats.org/officeDocument/2006/relationships/revisionLog" Target="revisionLog180.xml"/><Relationship Id="rId392" Type="http://schemas.openxmlformats.org/officeDocument/2006/relationships/revisionLog" Target="revisionLog354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4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361" Type="http://schemas.openxmlformats.org/officeDocument/2006/relationships/revisionLog" Target="revisionLog323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Relationship Id="rId382" Type="http://schemas.openxmlformats.org/officeDocument/2006/relationships/revisionLog" Target="revisionLog344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351" Type="http://schemas.openxmlformats.org/officeDocument/2006/relationships/revisionLog" Target="revisionLog313.xml"/><Relationship Id="rId372" Type="http://schemas.openxmlformats.org/officeDocument/2006/relationships/revisionLog" Target="revisionLog334.xml"/><Relationship Id="rId393" Type="http://schemas.openxmlformats.org/officeDocument/2006/relationships/revisionLog" Target="revisionLog355.xml"/><Relationship Id="rId407" Type="http://schemas.openxmlformats.org/officeDocument/2006/relationships/revisionLog" Target="revisionLog369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362" Type="http://schemas.openxmlformats.org/officeDocument/2006/relationships/revisionLog" Target="revisionLog324.xml"/><Relationship Id="rId383" Type="http://schemas.openxmlformats.org/officeDocument/2006/relationships/revisionLog" Target="revisionLog345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352" Type="http://schemas.openxmlformats.org/officeDocument/2006/relationships/revisionLog" Target="revisionLog314.xml"/><Relationship Id="rId373" Type="http://schemas.openxmlformats.org/officeDocument/2006/relationships/revisionLog" Target="revisionLog335.xml"/><Relationship Id="rId394" Type="http://schemas.openxmlformats.org/officeDocument/2006/relationships/revisionLog" Target="revisionLog356.xml"/><Relationship Id="rId408" Type="http://schemas.openxmlformats.org/officeDocument/2006/relationships/revisionLog" Target="revisionLog112.xml"/><Relationship Id="rId212" Type="http://schemas.openxmlformats.org/officeDocument/2006/relationships/revisionLog" Target="revisionLog177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1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363" Type="http://schemas.openxmlformats.org/officeDocument/2006/relationships/revisionLog" Target="revisionLog325.xml"/><Relationship Id="rId384" Type="http://schemas.openxmlformats.org/officeDocument/2006/relationships/revisionLog" Target="revisionLog346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353" Type="http://schemas.openxmlformats.org/officeDocument/2006/relationships/revisionLog" Target="revisionLog315.xml"/><Relationship Id="rId374" Type="http://schemas.openxmlformats.org/officeDocument/2006/relationships/revisionLog" Target="revisionLog336.xml"/><Relationship Id="rId395" Type="http://schemas.openxmlformats.org/officeDocument/2006/relationships/revisionLog" Target="revisionLog357.xml"/><Relationship Id="rId409" Type="http://schemas.openxmlformats.org/officeDocument/2006/relationships/revisionLog" Target="revisionLog1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305.xml"/><Relationship Id="rId364" Type="http://schemas.openxmlformats.org/officeDocument/2006/relationships/revisionLog" Target="revisionLog326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.xml"/><Relationship Id="rId385" Type="http://schemas.openxmlformats.org/officeDocument/2006/relationships/revisionLog" Target="revisionLog347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354" Type="http://schemas.openxmlformats.org/officeDocument/2006/relationships/revisionLog" Target="revisionLog316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375" Type="http://schemas.openxmlformats.org/officeDocument/2006/relationships/revisionLog" Target="revisionLog337.xml"/><Relationship Id="rId396" Type="http://schemas.openxmlformats.org/officeDocument/2006/relationships/revisionLog" Target="revisionLog358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00" Type="http://schemas.openxmlformats.org/officeDocument/2006/relationships/revisionLog" Target="revisionLog362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365" Type="http://schemas.openxmlformats.org/officeDocument/2006/relationships/revisionLog" Target="revisionLog327.xml"/><Relationship Id="rId386" Type="http://schemas.openxmlformats.org/officeDocument/2006/relationships/revisionLog" Target="revisionLog348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5" Type="http://schemas.openxmlformats.org/officeDocument/2006/relationships/revisionLog" Target="revisionLog317.xml"/><Relationship Id="rId376" Type="http://schemas.openxmlformats.org/officeDocument/2006/relationships/revisionLog" Target="revisionLog338.xml"/><Relationship Id="rId397" Type="http://schemas.openxmlformats.org/officeDocument/2006/relationships/revisionLog" Target="revisionLog359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401" Type="http://schemas.openxmlformats.org/officeDocument/2006/relationships/revisionLog" Target="revisionLog363.xml"/></Relationships>
</file>

<file path=xl/revisions/revisionHeaders.xml><?xml version="1.0" encoding="utf-8"?>
<headers xmlns="http://schemas.openxmlformats.org/spreadsheetml/2006/main" xmlns:r="http://schemas.openxmlformats.org/officeDocument/2006/relationships" guid="{21155A47-A748-4EE4-A7E9-30C0175634D9}" diskRevisions="1" revisionId="6094" version="409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BAEC2345-7CBA-4423-B715-D6C72DCC7AF9}" dateTime="2024-10-30T14:31:41" maxSheetId="2" userName="БутытоваСГ" r:id="rId305" minRId="4325" maxRId="4359">
    <sheetIdMap count="1">
      <sheetId val="1"/>
    </sheetIdMap>
  </header>
  <header guid="{0B90DEB7-650F-4952-B8D9-90B72BE93A86}" dateTime="2024-10-30T14:33:27" maxSheetId="2" userName="БутытоваСГ" r:id="rId306" minRId="4362" maxRId="4429">
    <sheetIdMap count="1">
      <sheetId val="1"/>
    </sheetIdMap>
  </header>
  <header guid="{482E6DEA-9436-47B0-B009-3CBBA329FD40}" dateTime="2024-10-30T14:38:53" maxSheetId="2" userName="БутытоваСГ" r:id="rId307" minRId="4430" maxRId="4453">
    <sheetIdMap count="1">
      <sheetId val="1"/>
    </sheetIdMap>
  </header>
  <header guid="{AB9D762D-5AF5-41A5-9681-25DCFEA45847}" dateTime="2024-10-30T14:40:27" maxSheetId="2" userName="БутытоваСГ" r:id="rId308" minRId="4454" maxRId="4463">
    <sheetIdMap count="1">
      <sheetId val="1"/>
    </sheetIdMap>
  </header>
  <header guid="{3C6335BF-F2FE-453E-8599-0B1BF7B2F6E9}" dateTime="2024-10-30T14:46:52" maxSheetId="2" userName="БутытоваСГ" r:id="rId309" minRId="4464" maxRId="4483">
    <sheetIdMap count="1">
      <sheetId val="1"/>
    </sheetIdMap>
  </header>
  <header guid="{6836E784-21C8-4E41-A522-8058D0EE33AF}" dateTime="2024-10-30T14:49:08" maxSheetId="2" userName="БутытоваСГ" r:id="rId310" minRId="4484" maxRId="4495">
    <sheetIdMap count="1">
      <sheetId val="1"/>
    </sheetIdMap>
  </header>
  <header guid="{E1CC9E56-112A-4C14-9DE2-F47574782C8A}" dateTime="2024-10-30T14:54:17" maxSheetId="2" userName="БутытоваСГ" r:id="rId311" minRId="4496" maxRId="4515">
    <sheetIdMap count="1">
      <sheetId val="1"/>
    </sheetIdMap>
  </header>
  <header guid="{D059B68E-99CF-4F37-B91E-C7E190BBA326}" dateTime="2024-10-30T14:58:19" maxSheetId="2" userName="БутытоваСГ" r:id="rId312" minRId="4516" maxRId="4545">
    <sheetIdMap count="1">
      <sheetId val="1"/>
    </sheetIdMap>
  </header>
  <header guid="{6A53A8AC-904F-418A-9DA3-A695714E88F4}" dateTime="2024-10-30T15:00:52" maxSheetId="2" userName="БутытоваСГ" r:id="rId313" minRId="4546" maxRId="4613">
    <sheetIdMap count="1">
      <sheetId val="1"/>
    </sheetIdMap>
  </header>
  <header guid="{BEDB481C-51DB-4768-A709-707C243DF1C6}" dateTime="2024-10-30T15:03:37" maxSheetId="2" userName="БутытоваСГ" r:id="rId314" minRId="4614" maxRId="4735">
    <sheetIdMap count="1">
      <sheetId val="1"/>
    </sheetIdMap>
  </header>
  <header guid="{0132E112-D869-432F-BDBE-CA9BC30DF8AF}" dateTime="2024-10-30T15:07:15" maxSheetId="2" userName="БутытоваСГ" r:id="rId315" minRId="4736" maxRId="4745">
    <sheetIdMap count="1">
      <sheetId val="1"/>
    </sheetIdMap>
  </header>
  <header guid="{CCDF8447-4B05-441D-A935-EBD126EDC669}" dateTime="2024-10-30T15:08:57" maxSheetId="2" userName="БутытоваСГ" r:id="rId316" minRId="4746" maxRId="4755">
    <sheetIdMap count="1">
      <sheetId val="1"/>
    </sheetIdMap>
  </header>
  <header guid="{6DAD5A8B-F081-48DC-9B6B-9B6036EC6A7E}" dateTime="2024-10-30T15:09:37" maxSheetId="2" userName="БутытоваСГ" r:id="rId317" minRId="4756" maxRId="4759">
    <sheetIdMap count="1">
      <sheetId val="1"/>
    </sheetIdMap>
  </header>
  <header guid="{4DC627B6-E646-462C-8979-97EF1614975B}" dateTime="2024-10-30T15:11:10" maxSheetId="2" userName="БутытоваСГ" r:id="rId318" minRId="4760" maxRId="4771">
    <sheetIdMap count="1">
      <sheetId val="1"/>
    </sheetIdMap>
  </header>
  <header guid="{28BBC71E-2C38-41D5-9A99-91B0B3CAADB4}" dateTime="2024-10-30T15:12:41" maxSheetId="2" userName="БутытоваСГ" r:id="rId319" minRId="4772" maxRId="4775">
    <sheetIdMap count="1">
      <sheetId val="1"/>
    </sheetIdMap>
  </header>
  <header guid="{6B035863-C7F5-4C44-8D92-D7E727EEA21B}" dateTime="2024-10-30T15:15:44" maxSheetId="2" userName="БутытоваСГ" r:id="rId320" minRId="4776" maxRId="4781">
    <sheetIdMap count="1">
      <sheetId val="1"/>
    </sheetIdMap>
  </header>
  <header guid="{8A57FC4B-176B-4732-B3B1-A5E71E0B631D}" dateTime="2024-10-30T15:16:06" maxSheetId="2" userName="БутытоваСГ" r:id="rId321" minRId="4782">
    <sheetIdMap count="1">
      <sheetId val="1"/>
    </sheetIdMap>
  </header>
  <header guid="{0C8BAA74-08DB-4B00-8132-657F55A7458F}" dateTime="2024-10-30T15:17:39" maxSheetId="2" userName="БутытоваСГ" r:id="rId322" minRId="4783" maxRId="4794">
    <sheetIdMap count="1">
      <sheetId val="1"/>
    </sheetIdMap>
  </header>
  <header guid="{5EFE178F-C102-4E15-B12A-EAD31027CA71}" dateTime="2024-10-30T15:24:43" maxSheetId="2" userName="БутытоваСГ" r:id="rId323" minRId="4795" maxRId="5068">
    <sheetIdMap count="1">
      <sheetId val="1"/>
    </sheetIdMap>
  </header>
  <header guid="{FE77D1CA-98F5-4E18-AC12-DAA0B79B76A8}" dateTime="2024-10-30T15:37:05" maxSheetId="2" userName="БутытоваСГ" r:id="rId324" minRId="5069" maxRId="5100">
    <sheetIdMap count="1">
      <sheetId val="1"/>
    </sheetIdMap>
  </header>
  <header guid="{28EB424D-A6F8-49FA-880C-B9F8926DCBE9}" dateTime="2024-10-30T15:46:05" maxSheetId="2" userName="БутытоваСГ" r:id="rId325" minRId="5101" maxRId="5179">
    <sheetIdMap count="1">
      <sheetId val="1"/>
    </sheetIdMap>
  </header>
  <header guid="{F7BB179B-4830-4E26-AE0C-188CCFE9941F}" dateTime="2024-10-30T15:48:09" maxSheetId="2" userName="БутытоваСГ" r:id="rId326" minRId="5180" maxRId="5192">
    <sheetIdMap count="1">
      <sheetId val="1"/>
    </sheetIdMap>
  </header>
  <header guid="{F5A42396-A00A-4F76-A623-EFF0B080A4D8}" dateTime="2024-10-31T14:10:51" maxSheetId="2" userName="Пользователь" r:id="rId327" minRId="5193" maxRId="5222">
    <sheetIdMap count="1">
      <sheetId val="1"/>
    </sheetIdMap>
  </header>
  <header guid="{6C407DD5-2DB0-479C-920F-C7D62C476B8F}" dateTime="2024-10-31T14:29:58" maxSheetId="2" userName="БутытоваСГ" r:id="rId328" minRId="5223" maxRId="5232">
    <sheetIdMap count="1">
      <sheetId val="1"/>
    </sheetIdMap>
  </header>
  <header guid="{3CF8EB27-F920-4D72-BCDD-0B008046975F}" dateTime="2024-10-31T14:34:09" maxSheetId="2" userName="БутытоваСГ" r:id="rId329" minRId="5233" maxRId="5238">
    <sheetIdMap count="1">
      <sheetId val="1"/>
    </sheetIdMap>
  </header>
  <header guid="{50C7FF0B-3634-403F-A07A-7F1A060D54CD}" dateTime="2024-10-31T14:40:04" maxSheetId="2" userName="БутытоваСГ" r:id="rId330" minRId="5239" maxRId="5240">
    <sheetIdMap count="1">
      <sheetId val="1"/>
    </sheetIdMap>
  </header>
  <header guid="{0A3F14A2-3239-4F1B-9CE1-D0EA49B184B6}" dateTime="2024-10-31T14:43:11" maxSheetId="2" userName="БутытоваСГ" r:id="rId331" minRId="5241" maxRId="5253">
    <sheetIdMap count="1">
      <sheetId val="1"/>
    </sheetIdMap>
  </header>
  <header guid="{1B0D5801-B6CE-43FE-9F6B-8E3155D02C15}" dateTime="2024-10-31T14:57:02" maxSheetId="2" userName="БутытоваСГ" r:id="rId332" minRId="5254" maxRId="5280">
    <sheetIdMap count="1">
      <sheetId val="1"/>
    </sheetIdMap>
  </header>
  <header guid="{4414B3B4-9BF5-4705-B64D-BA21325B4707}" dateTime="2024-10-31T15:29:15" maxSheetId="2" userName="БутытоваСГ" r:id="rId333" minRId="5281" maxRId="5322">
    <sheetIdMap count="1">
      <sheetId val="1"/>
    </sheetIdMap>
  </header>
  <header guid="{CD055C42-6E1F-4844-B0B0-7DD4847A924E}" dateTime="2024-10-31T15:39:01" maxSheetId="2" userName="БутытоваСГ" r:id="rId334" minRId="5323" maxRId="5342">
    <sheetIdMap count="1">
      <sheetId val="1"/>
    </sheetIdMap>
  </header>
  <header guid="{0A4EC497-105F-4198-8B9D-2B7DDC8BBCC2}" dateTime="2024-10-31T16:17:15" maxSheetId="2" userName="БутытоваСГ" r:id="rId335" minRId="5343" maxRId="5346">
    <sheetIdMap count="1">
      <sheetId val="1"/>
    </sheetIdMap>
  </header>
  <header guid="{0A4F3BB5-6C35-4E98-BEA5-689B34306854}" dateTime="2024-10-31T16:17:54" maxSheetId="2" userName="БутытоваСГ" r:id="rId336" minRId="5347" maxRId="5350">
    <sheetIdMap count="1">
      <sheetId val="1"/>
    </sheetIdMap>
  </header>
  <header guid="{7C607FE2-E974-4621-A18A-DB223F882C9F}" dateTime="2024-10-31T16:43:35" maxSheetId="2" userName="БутытоваСГ" r:id="rId337" minRId="5351" maxRId="5372">
    <sheetIdMap count="1">
      <sheetId val="1"/>
    </sheetIdMap>
  </header>
  <header guid="{E6752776-07AA-408A-9A75-8569D26B1966}" dateTime="2024-11-01T09:00:03" maxSheetId="2" userName="БутытоваСГ" r:id="rId338" minRId="5373" maxRId="5376">
    <sheetIdMap count="1">
      <sheetId val="1"/>
    </sheetIdMap>
  </header>
  <header guid="{54E20F63-F537-4ED0-B65A-726FEA3674DC}" dateTime="2024-11-01T09:06:35" maxSheetId="2" userName="БутытоваСГ" r:id="rId339" minRId="5377" maxRId="5394">
    <sheetIdMap count="1">
      <sheetId val="1"/>
    </sheetIdMap>
  </header>
  <header guid="{00B72B7B-8EA1-49AE-B081-405D166DEE61}" dateTime="2024-11-01T09:16:37" maxSheetId="2" userName="БутытоваСГ" r:id="rId340" minRId="5395" maxRId="5412">
    <sheetIdMap count="1">
      <sheetId val="1"/>
    </sheetIdMap>
  </header>
  <header guid="{25443D97-DEAE-4B52-9935-86568069D95D}" dateTime="2024-11-01T09:17:04" maxSheetId="2" userName="БутытоваСГ" r:id="rId341" minRId="5413" maxRId="5414">
    <sheetIdMap count="1">
      <sheetId val="1"/>
    </sheetIdMap>
  </header>
  <header guid="{D551A632-75CA-406E-B15C-51F02FBAD816}" dateTime="2024-11-01T09:17:17" maxSheetId="2" userName="БутытоваСГ" r:id="rId342">
    <sheetIdMap count="1">
      <sheetId val="1"/>
    </sheetIdMap>
  </header>
  <header guid="{6BD0077D-3AEB-458B-AA04-C72326E9B005}" dateTime="2024-11-01T09:20:14" maxSheetId="2" userName="БутытоваСГ" r:id="rId343" minRId="5415" maxRId="5416">
    <sheetIdMap count="1">
      <sheetId val="1"/>
    </sheetIdMap>
  </header>
  <header guid="{B76BA77B-528F-43AC-B946-841D6E6E9A86}" dateTime="2024-11-01T09:21:37" maxSheetId="2" userName="БутытоваСГ" r:id="rId344" minRId="5417" maxRId="5418">
    <sheetIdMap count="1">
      <sheetId val="1"/>
    </sheetIdMap>
  </header>
  <header guid="{E60C86A6-397C-4D95-A8DE-52A966EA9264}" dateTime="2024-11-01T09:26:24" maxSheetId="2" userName="БутытоваСГ" r:id="rId345" minRId="5419" maxRId="5428">
    <sheetIdMap count="1">
      <sheetId val="1"/>
    </sheetIdMap>
  </header>
  <header guid="{4F8BF011-5261-49E7-BF01-6B01C7B0510A}" dateTime="2024-11-01T10:06:12" maxSheetId="2" userName="БутытоваСГ" r:id="rId346" minRId="5429" maxRId="5430">
    <sheetIdMap count="1">
      <sheetId val="1"/>
    </sheetIdMap>
  </header>
  <header guid="{E7F86DBE-CB86-41F0-A563-CBDC888E730B}" dateTime="2024-11-01T10:54:39" maxSheetId="2" userName="БутытоваСГ" r:id="rId347" minRId="5431" maxRId="5432">
    <sheetIdMap count="1">
      <sheetId val="1"/>
    </sheetIdMap>
  </header>
  <header guid="{C6AD1689-7803-4EDC-B672-35B4C52143A0}" dateTime="2024-11-01T10:55:38" maxSheetId="2" userName="БутытоваСГ" r:id="rId348">
    <sheetIdMap count="1">
      <sheetId val="1"/>
    </sheetIdMap>
  </header>
  <header guid="{2B93D8FF-F03D-48ED-A048-796BBC614DF1}" dateTime="2024-11-01T10:58:53" maxSheetId="2" userName="БутытоваСГ" r:id="rId349">
    <sheetIdMap count="1">
      <sheetId val="1"/>
    </sheetIdMap>
  </header>
  <header guid="{C5BCDF29-9771-4BE6-908E-167CFAE402DE}" dateTime="2024-11-02T14:13:34" maxSheetId="2" userName="БутытоваСГ" r:id="rId350" minRId="5433" maxRId="5438">
    <sheetIdMap count="1">
      <sheetId val="1"/>
    </sheetIdMap>
  </header>
  <header guid="{61F32CCF-B979-4597-A4BA-8E340EAAE350}" dateTime="2024-11-02T14:15:12" maxSheetId="2" userName="БутытоваСГ" r:id="rId351" minRId="5439" maxRId="5442">
    <sheetIdMap count="1">
      <sheetId val="1"/>
    </sheetIdMap>
  </header>
  <header guid="{696418AD-D345-4444-91EF-4F4A6D7E1BFF}" dateTime="2024-11-02T14:22:51" maxSheetId="2" userName="БутытоваСГ" r:id="rId352" minRId="5443" maxRId="5486">
    <sheetIdMap count="1">
      <sheetId val="1"/>
    </sheetIdMap>
  </header>
  <header guid="{10B65331-823E-494F-BBC1-29F39F06F536}" dateTime="2024-11-02T14:24:25" maxSheetId="2" userName="БутытоваСГ" r:id="rId353" minRId="5487" maxRId="5504">
    <sheetIdMap count="1">
      <sheetId val="1"/>
    </sheetIdMap>
  </header>
  <header guid="{9B08112A-3D08-4E9E-A335-C32CE261CD71}" dateTime="2024-11-02T14:24:33" maxSheetId="2" userName="БутытоваСГ" r:id="rId354" minRId="5505" maxRId="5506">
    <sheetIdMap count="1">
      <sheetId val="1"/>
    </sheetIdMap>
  </header>
  <header guid="{9E20D7B3-FAEB-454C-90B8-0DA83677F611}" dateTime="2024-11-02T14:24:42" maxSheetId="2" userName="БутытоваСГ" r:id="rId355" minRId="5507">
    <sheetIdMap count="1">
      <sheetId val="1"/>
    </sheetIdMap>
  </header>
  <header guid="{D3611E49-30B8-4A83-B363-F755DB97D72E}" dateTime="2024-11-02T14:26:27" maxSheetId="2" userName="БутытоваСГ" r:id="rId356" minRId="5508" maxRId="5518">
    <sheetIdMap count="1">
      <sheetId val="1"/>
    </sheetIdMap>
  </header>
  <header guid="{B1E31DAD-1AF6-4C00-9C99-DB365AE884BB}" dateTime="2024-11-02T14:26:44" maxSheetId="2" userName="БутытоваСГ" r:id="rId357">
    <sheetIdMap count="1">
      <sheetId val="1"/>
    </sheetIdMap>
  </header>
  <header guid="{FB8D1439-1F6D-4B8F-9647-9A0E3EA0752A}" dateTime="2024-11-02T14:26:56" maxSheetId="2" userName="БутытоваСГ" r:id="rId358">
    <sheetIdMap count="1">
      <sheetId val="1"/>
    </sheetIdMap>
  </header>
  <header guid="{AD631C0F-3CF3-448C-BD6D-88D358F58496}" dateTime="2024-11-02T14:27:55" maxSheetId="2" userName="БутытоваСГ" r:id="rId359" minRId="5523" maxRId="5540">
    <sheetIdMap count="1">
      <sheetId val="1"/>
    </sheetIdMap>
  </header>
  <header guid="{0DE523FB-F391-4D7A-8A32-D0D8987B2A01}" dateTime="2024-11-02T14:32:06" maxSheetId="2" userName="БутытоваСГ" r:id="rId360" minRId="5541" maxRId="5568">
    <sheetIdMap count="1">
      <sheetId val="1"/>
    </sheetIdMap>
  </header>
  <header guid="{DCD0A4AE-0189-46F7-8329-D839C55294A0}" dateTime="2024-11-02T14:33:03" maxSheetId="2" userName="БутытоваСГ" r:id="rId361" minRId="5569" maxRId="5572">
    <sheetIdMap count="1">
      <sheetId val="1"/>
    </sheetIdMap>
  </header>
  <header guid="{A17909CD-F904-4F07-92F0-B62E2CBCCAE0}" dateTime="2024-11-02T14:36:25" maxSheetId="2" userName="БутытоваСГ" r:id="rId362" minRId="5573" maxRId="5603">
    <sheetIdMap count="1">
      <sheetId val="1"/>
    </sheetIdMap>
  </header>
  <header guid="{48EF2C23-71FF-4121-9A67-125D3037E875}" dateTime="2024-11-02T14:41:47" maxSheetId="2" userName="БутытоваСГ" r:id="rId363" minRId="5604" maxRId="5614">
    <sheetIdMap count="1">
      <sheetId val="1"/>
    </sheetIdMap>
  </header>
  <header guid="{1D47423D-82E4-4D70-91C5-583DDCA3CD42}" dateTime="2024-11-05T09:10:02" maxSheetId="2" userName="БутытоваСГ" r:id="rId364">
    <sheetIdMap count="1">
      <sheetId val="1"/>
    </sheetIdMap>
  </header>
  <header guid="{45C76204-ED79-4A7F-AD1D-51FDB180670B}" dateTime="2024-11-05T09:15:45" maxSheetId="2" userName="БутытоваСГ" r:id="rId365" minRId="5615" maxRId="5617">
    <sheetIdMap count="1">
      <sheetId val="1"/>
    </sheetIdMap>
  </header>
  <header guid="{A11D14A3-474D-4F4A-A19E-7987673507AA}" dateTime="2024-11-05T09:22:48" maxSheetId="2" userName="БутытоваСГ" r:id="rId366">
    <sheetIdMap count="1">
      <sheetId val="1"/>
    </sheetIdMap>
  </header>
  <header guid="{37D81020-B35D-4042-BEDF-8F53BDA8CC73}" dateTime="2024-11-05T09:25:04" maxSheetId="2" userName="БутытоваСГ" r:id="rId367">
    <sheetIdMap count="1">
      <sheetId val="1"/>
    </sheetIdMap>
  </header>
  <header guid="{BC0D24BE-3642-4DFC-A46B-BE2301C5CE1E}" dateTime="2024-11-05T10:15:54" maxSheetId="2" userName="БутытоваСГ" r:id="rId368" minRId="5622" maxRId="5641">
    <sheetIdMap count="1">
      <sheetId val="1"/>
    </sheetIdMap>
  </header>
  <header guid="{E319D7A2-CFD8-4639-B004-6D3A1337CC8E}" dateTime="2024-11-05T10:16:21" maxSheetId="2" userName="БутытоваСГ" r:id="rId369" minRId="5644" maxRId="5649">
    <sheetIdMap count="1">
      <sheetId val="1"/>
    </sheetIdMap>
  </header>
  <header guid="{65B25057-4538-4857-83C3-82479DF2F87B}" dateTime="2024-11-05T10:16:41" maxSheetId="2" userName="БутытоваСГ" r:id="rId370" minRId="5650" maxRId="5653">
    <sheetIdMap count="1">
      <sheetId val="1"/>
    </sheetIdMap>
  </header>
  <header guid="{A62F311C-10FE-4E3E-827E-CEA46DD259A6}" dateTime="2024-11-05T10:18:08" maxSheetId="2" userName="БутытоваСГ" r:id="rId371" minRId="5654" maxRId="5657">
    <sheetIdMap count="1">
      <sheetId val="1"/>
    </sheetIdMap>
  </header>
  <header guid="{98F66DA7-6F21-4E6A-98F0-3547018AD8FA}" dateTime="2024-11-05T14:42:39" maxSheetId="2" userName="БутытоваСГ" r:id="rId372" minRId="5658" maxRId="5667">
    <sheetIdMap count="1">
      <sheetId val="1"/>
    </sheetIdMap>
  </header>
  <header guid="{D8D2184C-ED01-4007-BAA6-1D591A89BE1E}" dateTime="2024-11-05T14:45:34" maxSheetId="2" userName="БутытоваСГ" r:id="rId373" minRId="5668" maxRId="5675">
    <sheetIdMap count="1">
      <sheetId val="1"/>
    </sheetIdMap>
  </header>
  <header guid="{67C71DC5-94EF-40A0-B144-F4D0885E1199}" dateTime="2024-11-06T10:18:56" maxSheetId="2" userName="БутытоваСГ" r:id="rId374" minRId="5676" maxRId="5683">
    <sheetIdMap count="1">
      <sheetId val="1"/>
    </sheetIdMap>
  </header>
  <header guid="{D2315CDF-B111-48B3-B62B-A601F29F9BA3}" dateTime="2024-11-08T15:47:35" maxSheetId="2" userName="БутытоваСГ" r:id="rId375" minRId="5684" maxRId="5706">
    <sheetIdMap count="1">
      <sheetId val="1"/>
    </sheetIdMap>
  </header>
  <header guid="{D0684D10-0660-4170-A615-B37F78CFF566}" dateTime="2024-11-12T16:18:50" maxSheetId="2" userName="БутытоваСГ" r:id="rId376" minRId="5707" maxRId="5714">
    <sheetIdMap count="1">
      <sheetId val="1"/>
    </sheetIdMap>
  </header>
  <header guid="{8D32319A-E230-43B6-B220-5F328D5DD1B1}" dateTime="2024-11-12T16:19:30" maxSheetId="2" userName="БутытоваСГ" r:id="rId377" minRId="5715" maxRId="5718">
    <sheetIdMap count="1">
      <sheetId val="1"/>
    </sheetIdMap>
  </header>
  <header guid="{54790DFD-5674-4E42-8A89-E785D656F0C4}" dateTime="2024-12-11T16:34:51" maxSheetId="2" userName="БутытоваСГ" r:id="rId378" minRId="5719" maxRId="5729">
    <sheetIdMap count="1">
      <sheetId val="1"/>
    </sheetIdMap>
  </header>
  <header guid="{A3D10308-7DBA-4AF6-9E27-6B6386BD09BF}" dateTime="2024-12-11T16:35:10" maxSheetId="2" userName="БутытоваСГ" r:id="rId379" minRId="5730" maxRId="5733">
    <sheetIdMap count="1">
      <sheetId val="1"/>
    </sheetIdMap>
  </header>
  <header guid="{C42CCD9B-AB77-4DDF-84D4-9253C2E5BAA2}" dateTime="2024-12-11T16:44:49" maxSheetId="2" userName="БутытоваСГ" r:id="rId380" minRId="5734" maxRId="5755">
    <sheetIdMap count="1">
      <sheetId val="1"/>
    </sheetIdMap>
  </header>
  <header guid="{DBD8DA0F-868C-4D17-90B7-9AC7815250AD}" dateTime="2024-12-11T16:45:49" maxSheetId="2" userName="БутытоваСГ" r:id="rId381" minRId="5756" maxRId="5759">
    <sheetIdMap count="1">
      <sheetId val="1"/>
    </sheetIdMap>
  </header>
  <header guid="{46AA4FC3-DCBE-409F-A884-D98596D688D0}" dateTime="2024-12-11T16:46:39" maxSheetId="2" userName="БутытоваСГ" r:id="rId382" minRId="5760" maxRId="5763">
    <sheetIdMap count="1">
      <sheetId val="1"/>
    </sheetIdMap>
  </header>
  <header guid="{DB210AD3-57C7-4183-99DB-CB6748A97519}" dateTime="2024-12-11T17:07:52" maxSheetId="2" userName="БутытоваСГ" r:id="rId383" minRId="5764" maxRId="5773">
    <sheetIdMap count="1">
      <sheetId val="1"/>
    </sheetIdMap>
  </header>
  <header guid="{EE61345F-96A1-452E-A275-CB3CBA5D5430}" dateTime="2024-12-11T17:16:42" maxSheetId="2" userName="БутытоваСГ" r:id="rId384" minRId="5774" maxRId="5793">
    <sheetIdMap count="1">
      <sheetId val="1"/>
    </sheetIdMap>
  </header>
  <header guid="{54E31B5C-2AF1-4F4B-ADE8-3BD8EDA98FA1}" dateTime="2024-12-11T17:19:02" maxSheetId="2" userName="БутытоваСГ" r:id="rId385" minRId="5794" maxRId="5795">
    <sheetIdMap count="1">
      <sheetId val="1"/>
    </sheetIdMap>
  </header>
  <header guid="{CC113D97-1FD4-474E-BC09-F5F41E9946EB}" dateTime="2024-12-11T17:21:11" maxSheetId="2" userName="БутытоваСГ" r:id="rId386" minRId="5796" maxRId="5827">
    <sheetIdMap count="1">
      <sheetId val="1"/>
    </sheetIdMap>
  </header>
  <header guid="{B6C1B996-BDEE-4AD9-806D-CAAFBCFEF99D}" dateTime="2024-12-11T17:21:22" maxSheetId="2" userName="БутытоваСГ" r:id="rId387" minRId="5828" maxRId="5829">
    <sheetIdMap count="1">
      <sheetId val="1"/>
    </sheetIdMap>
  </header>
  <header guid="{DE80C7E6-15A3-4F14-B8A6-8B635678BAE8}" dateTime="2024-12-11T17:22:57" maxSheetId="2" userName="БутытоваСГ" r:id="rId388" minRId="5830" maxRId="5869">
    <sheetIdMap count="1">
      <sheetId val="1"/>
    </sheetIdMap>
  </header>
  <header guid="{E1A74992-A8EC-4805-A680-373D01FAFCC7}" dateTime="2024-12-11T17:23:18" maxSheetId="2" userName="БутытоваСГ" r:id="rId389" minRId="5870" maxRId="5871">
    <sheetIdMap count="1">
      <sheetId val="1"/>
    </sheetIdMap>
  </header>
  <header guid="{78ABBF73-0060-4F77-8164-0709363A768E}" dateTime="2024-12-11T17:26:58" maxSheetId="2" userName="БутытоваСГ" r:id="rId390" minRId="5872">
    <sheetIdMap count="1">
      <sheetId val="1"/>
    </sheetIdMap>
  </header>
  <header guid="{DFC5D146-E40E-4297-964D-343E75DE614A}" dateTime="2024-12-12T09:30:27" maxSheetId="2" userName="БутытоваСГ" r:id="rId391" minRId="5873" maxRId="5906">
    <sheetIdMap count="1">
      <sheetId val="1"/>
    </sheetIdMap>
  </header>
  <header guid="{8D26EBCD-6A98-4F68-A68E-432E2E7D5A7F}" dateTime="2024-12-12T15:44:45" maxSheetId="2" userName="БутытоваСГ" r:id="rId392" minRId="5907" maxRId="5951">
    <sheetIdMap count="1">
      <sheetId val="1"/>
    </sheetIdMap>
  </header>
  <header guid="{EE7764C5-02BD-4759-8AB8-08AD5FA6DE03}" dateTime="2024-12-12T15:45:06" maxSheetId="2" userName="БутытоваСГ" r:id="rId393" minRId="5952" maxRId="5953">
    <sheetIdMap count="1">
      <sheetId val="1"/>
    </sheetIdMap>
  </header>
  <header guid="{2F20E249-EDDC-4A6F-B80B-B9A0A4AA47F2}" dateTime="2024-12-12T15:48:13" maxSheetId="2" userName="БутытоваСГ" r:id="rId394" minRId="5954" maxRId="5959">
    <sheetIdMap count="1">
      <sheetId val="1"/>
    </sheetIdMap>
  </header>
  <header guid="{F8117B89-AA7A-4140-B500-845EC4ED17A0}" dateTime="2024-12-12T15:52:46" maxSheetId="2" userName="БутытоваСГ" r:id="rId395" minRId="5960" maxRId="5961">
    <sheetIdMap count="1">
      <sheetId val="1"/>
    </sheetIdMap>
  </header>
  <header guid="{136DDFE6-4EFF-4084-B722-839482218168}" dateTime="2024-12-12T15:55:30" maxSheetId="2" userName="БутытоваСГ" r:id="rId396" minRId="5962" maxRId="5964">
    <sheetIdMap count="1">
      <sheetId val="1"/>
    </sheetIdMap>
  </header>
  <header guid="{9C76F167-928A-494C-8F70-BF2E5B831465}" dateTime="2024-12-12T16:04:10" maxSheetId="2" userName="БутытоваСГ" r:id="rId397" minRId="5965" maxRId="5970">
    <sheetIdMap count="1">
      <sheetId val="1"/>
    </sheetIdMap>
  </header>
  <header guid="{3F86855B-662A-4BFB-AC83-DD2756B14AE4}" dateTime="2024-12-12T16:04:37" maxSheetId="2" userName="БутытоваСГ" r:id="rId398" minRId="5971" maxRId="5972">
    <sheetIdMap count="1">
      <sheetId val="1"/>
    </sheetIdMap>
  </header>
  <header guid="{9255C698-86FE-4D69-8CF6-C7DB18AC734D}" dateTime="2024-12-12T16:07:03" maxSheetId="2" userName="БутытоваСГ" r:id="rId399" minRId="5973" maxRId="6008">
    <sheetIdMap count="1">
      <sheetId val="1"/>
    </sheetIdMap>
  </header>
  <header guid="{A1111967-778F-4F67-9CD4-7E76C40F8B98}" dateTime="2024-12-12T16:08:15" maxSheetId="2" userName="БутытоваСГ" r:id="rId400" minRId="6009" maxRId="6046">
    <sheetIdMap count="1">
      <sheetId val="1"/>
    </sheetIdMap>
  </header>
  <header guid="{931CEB13-B752-45C1-85EB-DBAE1FEF8C2F}" dateTime="2024-12-12T16:21:05" maxSheetId="2" userName="БутытоваСГ" r:id="rId401" minRId="6047" maxRId="6050">
    <sheetIdMap count="1">
      <sheetId val="1"/>
    </sheetIdMap>
  </header>
  <header guid="{F48D5C83-830A-4B8C-9931-F3DCEA14EE71}" dateTime="2024-12-12T16:24:07" maxSheetId="2" userName="БутытоваСГ" r:id="rId402" minRId="6051" maxRId="6064">
    <sheetIdMap count="1">
      <sheetId val="1"/>
    </sheetIdMap>
  </header>
  <header guid="{F63B0ECE-3FAE-476C-BB00-B3DE0B11A7C1}" dateTime="2024-12-12T16:27:16" maxSheetId="2" userName="БутытоваСГ" r:id="rId403" minRId="6065" maxRId="6070">
    <sheetIdMap count="1">
      <sheetId val="1"/>
    </sheetIdMap>
  </header>
  <header guid="{1E5F5C78-F312-4FA0-B68A-2A9A33D778BA}" dateTime="2024-12-12T16:28:41" maxSheetId="2" userName="БутытоваСГ" r:id="rId404" minRId="6071" maxRId="6072">
    <sheetIdMap count="1">
      <sheetId val="1"/>
    </sheetIdMap>
  </header>
  <header guid="{2B4D9D05-8107-46E0-9544-1853B17BB22D}" dateTime="2024-12-13T15:23:56" maxSheetId="2" userName="БутытоваСГ" r:id="rId405" minRId="6073" maxRId="6076">
    <sheetIdMap count="1">
      <sheetId val="1"/>
    </sheetIdMap>
  </header>
  <header guid="{5D2C4CC4-D741-40AC-B5B0-C5F635ACB8F3}" dateTime="2024-12-17T15:18:58" maxSheetId="2" userName="БутытоваСГ" r:id="rId406" minRId="6077" maxRId="6080">
    <sheetIdMap count="1">
      <sheetId val="1"/>
    </sheetIdMap>
  </header>
  <header guid="{71C354C6-EAF0-484B-BA14-F4048770F2BC}" dateTime="2024-12-17T15:44:56" maxSheetId="2" userName="БутытоваСГ" r:id="rId407">
    <sheetIdMap count="1">
      <sheetId val="1"/>
    </sheetIdMap>
  </header>
  <header guid="{C9AD84BB-20B9-4E98-BEE1-158861AB1E57}" dateTime="2024-12-17T17:09:00" maxSheetId="2" userName="Ольга Владимировна" r:id="rId408" minRId="6081" maxRId="6084">
    <sheetIdMap count="1">
      <sheetId val="1"/>
    </sheetIdMap>
  </header>
  <header guid="{21155A47-A748-4EE4-A7E9-30C0175634D9}" dateTime="2024-12-19T13:54:41" maxSheetId="2" userName="Ольга Владимировна" r:id="rId409" minRId="6085" maxRId="609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085" sId="1" numFmtId="4">
    <oc r="H187">
      <v>42291.904999999999</v>
    </oc>
    <nc r="H187">
      <f>42291.905+4991.3-249.565</f>
    </nc>
  </rcc>
  <rcc rId="6086" sId="1">
    <oc r="G191">
      <f>27585.6+278.6-1524.4</f>
    </oc>
    <nc r="G191">
      <f>27585.6+278.6-1524.4+0.2</f>
    </nc>
  </rcc>
  <rcc rId="6087" sId="1" numFmtId="34">
    <oc r="G492">
      <v>1368160.46</v>
    </oc>
    <nc r="G492">
      <v>1368160.66</v>
    </nc>
  </rcc>
  <rcc rId="6088" sId="1" numFmtId="34">
    <oc r="H489">
      <v>20269.657999999999</v>
    </oc>
    <nc r="H489">
      <v>20519.223000000002</v>
    </nc>
  </rcc>
  <rcc rId="6089" sId="1" numFmtId="34">
    <oc r="H492">
      <v>1367567.3600000001</v>
    </oc>
    <nc r="H492">
      <v>1372558.66</v>
    </nc>
  </rcc>
  <rcc rId="6090" sId="1" numFmtId="4">
    <oc r="G498">
      <v>1127080</v>
    </oc>
    <nc r="G498">
      <f>1127080+0.2</f>
    </nc>
  </rcc>
  <rcc rId="6091" sId="1" numFmtId="4">
    <oc r="H498">
      <v>1123185.1000000001</v>
    </oc>
    <nc r="H498">
      <f>1123185.1+4991.3</f>
    </nc>
  </rcc>
  <rcc rId="6092" sId="1" numFmtId="4">
    <oc r="J492">
      <v>161010.9</v>
    </oc>
    <nc r="J492">
      <v>166002.20000000001</v>
    </nc>
  </rcc>
  <rcc rId="6093" sId="1">
    <oc r="I490">
      <f>SUM(I15:I489)</f>
    </oc>
    <nc r="I490">
      <f>SUM(I15:I489)</f>
    </nc>
  </rcc>
  <rcc rId="6094" sId="1">
    <oc r="I191">
      <v>26061.200000000001</v>
    </oc>
    <nc r="I191">
      <v>26061.4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081" sId="1" odxf="1">
    <oc r="H5" t="inlineStr">
      <is>
        <t>«Селенгинский район» на 2024 год</t>
      </is>
    </oc>
    <nc r="H5" t="inlineStr">
      <is>
        <t>«Селенгинский район» на 2025 год</t>
      </is>
    </nc>
    <odxf/>
  </rcc>
  <rcc rId="6082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6083" sId="1">
    <oc r="H7" t="inlineStr">
      <is>
        <t>от "___" декабря 2023 №___</t>
      </is>
    </oc>
    <nc r="H7" t="inlineStr">
      <is>
        <t>от "___" декабря 2024 №___</t>
      </is>
    </nc>
  </rcc>
  <rcc rId="6084" sId="1">
    <oc r="A10" t="inlineStr">
      <is>
        <t>Ведомственная структура расходов местного бюджета на 2025-2026 годы</t>
      </is>
    </oc>
    <nc r="A10" t="inlineStr">
      <is>
        <t>Ведомственная структура расходов местного бюджета на 2026-2027 годы</t>
      </is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numFmtId="4">
    <oc r="G21">
      <v>1062.8</v>
    </oc>
    <nc r="G21"/>
  </rcc>
  <rcc rId="4326" sId="1" numFmtId="4">
    <oc r="H21">
      <v>1062.8</v>
    </oc>
    <nc r="H21"/>
  </rcc>
  <rcc rId="4327" sId="1" numFmtId="4">
    <oc r="G22">
      <v>321</v>
    </oc>
    <nc r="G22"/>
  </rcc>
  <rcc rId="4328" sId="1" numFmtId="4">
    <oc r="H22">
      <v>321</v>
    </oc>
    <nc r="H22"/>
  </rcc>
  <rcc rId="4329" sId="1" numFmtId="4">
    <oc r="G24">
      <v>1641.1</v>
    </oc>
    <nc r="G24"/>
  </rcc>
  <rcc rId="4330" sId="1" numFmtId="4">
    <oc r="H24">
      <v>1641.1</v>
    </oc>
    <nc r="H24"/>
  </rcc>
  <rcc rId="4331" sId="1" numFmtId="4">
    <oc r="G25">
      <v>495.6</v>
    </oc>
    <nc r="G25"/>
  </rcc>
  <rcc rId="4332" sId="1" numFmtId="4">
    <oc r="H25">
      <v>495.6</v>
    </oc>
    <nc r="H25"/>
  </rcc>
  <rcc rId="4333" sId="1" numFmtId="4">
    <oc r="G32">
      <v>2051.3000000000002</v>
    </oc>
    <nc r="G32"/>
  </rcc>
  <rcc rId="4334" sId="1" numFmtId="4">
    <oc r="H32">
      <v>2051.3000000000002</v>
    </oc>
    <nc r="H32"/>
  </rcc>
  <rcc rId="4335" sId="1" numFmtId="4">
    <oc r="G33">
      <v>619.5</v>
    </oc>
    <nc r="G33"/>
  </rcc>
  <rcc rId="4336" sId="1" numFmtId="4">
    <oc r="H33">
      <v>619.5</v>
    </oc>
    <nc r="H33"/>
  </rcc>
  <rcc rId="4337" sId="1" numFmtId="4">
    <oc r="G38">
      <v>10863.4</v>
    </oc>
    <nc r="G38"/>
  </rcc>
  <rcc rId="4338" sId="1" numFmtId="4">
    <oc r="H38">
      <v>10863.4</v>
    </oc>
    <nc r="H38"/>
  </rcc>
  <rcc rId="4339" sId="1" numFmtId="4">
    <oc r="G39">
      <v>3280.7</v>
    </oc>
    <nc r="G39"/>
  </rcc>
  <rcc rId="4340" sId="1" numFmtId="4">
    <oc r="H39">
      <v>3280.7</v>
    </oc>
    <nc r="H39"/>
  </rcc>
  <rcc rId="4341" sId="1" numFmtId="4">
    <oc r="G43">
      <v>10.5</v>
    </oc>
    <nc r="G43">
      <v>381.8</v>
    </nc>
  </rcc>
  <rfmt sheetId="1" sqref="G42">
    <dxf>
      <fill>
        <patternFill>
          <bgColor rgb="FF92D050"/>
        </patternFill>
      </fill>
    </dxf>
  </rfmt>
  <rrc rId="4342" sId="1" ref="I1:I1048576" action="deleteCol">
    <undo index="65535" exp="area" ref3D="1" dr="$A$14:$I$457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208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cc rId="0" sId="1">
      <nc r="I140">
        <v>512.4</v>
      </nc>
    </rcc>
    <rcc rId="0" sId="1">
      <nc r="I145">
        <v>16327.6</v>
      </nc>
    </rcc>
    <rcc rId="0" sId="1">
      <nc r="I159" t="inlineStr">
        <is>
          <t>344,62008 МБ</t>
        </is>
      </nc>
    </rcc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cc rId="0" sId="1">
      <nc r="I202" t="inlineStr">
        <is>
          <t>275,6 МБ</t>
        </is>
      </nc>
    </rcc>
    <rfmt sheetId="1" sqref="I203" start="0" length="0">
      <dxf>
        <font>
          <i/>
          <name val="Times New Roman CYR"/>
          <family val="1"/>
        </font>
      </dxf>
    </rfmt>
    <rcc rId="0" sId="1" dxf="1">
      <nc r="I204" t="inlineStr">
        <is>
          <t>20546,9 МБ</t>
        </is>
      </nc>
      <ndxf>
        <font>
          <i/>
          <name val="Times New Roman CYR"/>
          <family val="1"/>
        </font>
      </ndxf>
    </rcc>
    <rfmt sheetId="1" sqref="I205" start="0" length="0">
      <dxf>
        <font>
          <i/>
          <name val="Times New Roman CYR"/>
          <family val="1"/>
        </font>
      </dxf>
    </rfmt>
    <rcc rId="0" sId="1" dxf="1">
      <nc r="I206" t="inlineStr">
        <is>
          <t>10584,6 МБ</t>
        </is>
      </nc>
      <ndxf>
        <font>
          <i/>
          <name val="Times New Roman CYR"/>
          <family val="1"/>
        </font>
      </ndxf>
    </rcc>
    <rfmt sheetId="1" sqref="I207" start="0" length="0">
      <dxf>
        <font>
          <i/>
          <name val="Times New Roman CYR"/>
          <family val="1"/>
        </font>
      </dxf>
    </rfmt>
    <rcc rId="0" sId="1" dxf="1">
      <nc r="I208" t="inlineStr">
        <is>
          <t>28,2 МБ</t>
        </is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cc rId="0" sId="1" dxf="1">
      <nc r="I216" t="inlineStr">
        <is>
          <t>420 МБ</t>
        </is>
      </nc>
      <ndxf>
        <font>
          <i/>
          <name val="Times New Roman CYR"/>
          <family val="1"/>
        </font>
      </ndxf>
    </rcc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cc rId="0" sId="1" dxf="1">
      <nc r="I225" t="inlineStr">
        <is>
          <t>13038,2 МБ</t>
        </is>
      </nc>
      <ndxf>
        <font>
          <i/>
          <name val="Times New Roman CYR"/>
          <family val="1"/>
        </font>
      </ndxf>
    </rcc>
    <rcc rId="0" sId="1" dxf="1">
      <nc r="I226" t="inlineStr">
        <is>
          <t>28269,5 МБ</t>
        </is>
      </nc>
      <ndxf>
        <font>
          <i/>
          <name val="Times New Roman CYR"/>
          <family val="1"/>
        </font>
      </ndxf>
    </rcc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cc rId="0" sId="1" dxf="1">
      <nc r="I232" t="inlineStr">
        <is>
          <t>8,1 МБ</t>
        </is>
      </nc>
      <ndxf>
        <font>
          <i/>
          <name val="Times New Roman CYR"/>
          <family val="1"/>
        </font>
      </ndxf>
    </rcc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numFmt numFmtId="165" formatCode="0.00000"/>
      </dxf>
    </rfmt>
    <rfmt sheetId="1" sqref="I297" start="0" length="0">
      <dxf>
        <numFmt numFmtId="165" formatCode="0.00000"/>
      </dxf>
    </rfmt>
    <rfmt sheetId="1" sqref="I298" start="0" length="0">
      <dxf>
        <font>
          <i/>
          <name val="Times New Roman CYR"/>
          <family val="1"/>
        </font>
        <numFmt numFmtId="165" formatCode="0.00000"/>
      </dxf>
    </rfmt>
    <rfmt sheetId="1" sqref="I299" start="0" length="0">
      <dxf>
        <font>
          <i/>
          <name val="Times New Roman CYR"/>
          <family val="1"/>
        </font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3" start="0" length="0">
      <dxf>
        <font>
          <i/>
          <name val="Times New Roman CYR"/>
          <family val="1"/>
        </font>
      </dxf>
    </rfmt>
    <rcc rId="0" sId="1">
      <nc r="I309" t="inlineStr">
        <is>
          <t>543,5 МБ</t>
        </is>
      </nc>
    </rcc>
    <rfmt sheetId="1" sqref="I314" start="0" length="0">
      <dxf>
        <numFmt numFmtId="165" formatCode="0.00000"/>
      </dxf>
    </rfmt>
    <rcc rId="0" sId="1" dxf="1">
      <nc r="I316">
        <v>17764.599999999999</v>
      </nc>
      <ndxf>
        <font>
          <b/>
          <i/>
          <name val="Times New Roman CYR"/>
          <family val="1"/>
        </font>
      </ndxf>
    </rcc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cc rId="0" sId="1">
      <nc r="I324" t="inlineStr">
        <is>
          <t>30 МБ</t>
        </is>
      </nc>
    </rcc>
    <rfmt sheetId="1" sqref="I326" start="0" length="0">
      <dxf>
        <font>
          <i/>
          <name val="Times New Roman CYR"/>
          <family val="1"/>
        </font>
      </dxf>
    </rfmt>
  </rrc>
  <rrc rId="4343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4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5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cc rId="4346" sId="1">
    <nc r="I43">
      <v>381.8</v>
    </nc>
  </rcc>
  <rcc rId="4347" sId="1" numFmtId="4">
    <oc r="G184">
      <v>132003.5</v>
    </oc>
    <nc r="G184"/>
  </rcc>
  <rcc rId="4348" sId="1" numFmtId="4">
    <oc r="H184">
      <v>132003.5</v>
    </oc>
    <nc r="H184"/>
  </rcc>
  <rcc rId="4349" sId="1">
    <oc r="G188">
      <f>80336.9-18626.92</f>
    </oc>
    <nc r="G188"/>
  </rcc>
  <rcc rId="4350" sId="1">
    <oc r="H188">
      <f>80336.9-24369.815</f>
    </oc>
    <nc r="H188"/>
  </rcc>
  <rcc rId="4351" sId="1" numFmtId="4">
    <oc r="G186">
      <f>563</f>
    </oc>
    <nc r="G186">
      <v>552.70000000000005</v>
    </nc>
  </rcc>
  <rcc rId="4352" sId="1" numFmtId="4">
    <oc r="H186">
      <v>563</v>
    </oc>
    <nc r="H186">
      <v>552.70000000000005</v>
    </nc>
  </rcc>
  <rcc rId="4353" sId="1">
    <nc r="I186">
      <v>552.70000000000005</v>
    </nc>
  </rcc>
  <rcc rId="4354" sId="1">
    <nc r="J186">
      <v>552.70000000000005</v>
    </nc>
  </rcc>
  <rfmt sheetId="1" sqref="G185:H185">
    <dxf>
      <fill>
        <patternFill>
          <bgColor rgb="FF92D050"/>
        </patternFill>
      </fill>
    </dxf>
  </rfmt>
  <rcc rId="4355" sId="1">
    <oc r="E194" t="inlineStr">
      <is>
        <t>10201 53030</t>
      </is>
    </oc>
    <nc r="E194" t="inlineStr">
      <is>
        <t>10201 L3030</t>
      </is>
    </nc>
  </rcc>
  <rcc rId="4356" sId="1">
    <oc r="E193" t="inlineStr">
      <is>
        <t>10201 53030</t>
      </is>
    </oc>
    <nc r="E193" t="inlineStr">
      <is>
        <t>10201 L3030</t>
      </is>
    </nc>
  </rcc>
  <rcc rId="4357" sId="1" numFmtId="4">
    <oc r="G194">
      <v>31012</v>
    </oc>
    <nc r="G194">
      <v>31351.9</v>
    </nc>
  </rcc>
  <rcc rId="4358" sId="1">
    <nc r="I194">
      <v>31351.9</v>
    </nc>
  </rcc>
  <rcc rId="4359" sId="1">
    <nc r="J194">
      <v>0</v>
    </nc>
  </rcc>
  <rfmt sheetId="1" sqref="G193:H193">
    <dxf>
      <fill>
        <patternFill>
          <bgColor rgb="FF92D050"/>
        </patternFill>
      </fill>
    </dxf>
  </rfmt>
  <rdn rId="0" localSheetId="1" customView="1" name="Z_EB0A41C3_EF34_4619_B9DF_F61492617999_.wvu.PrintArea" hidden="1" oldHidden="1">
    <formula>Ведом.структура!$A$1:$H$454</formula>
  </rdn>
  <rdn rId="0" localSheetId="1" customView="1" name="Z_EB0A41C3_EF34_4619_B9DF_F61492617999_.wvu.FilterData" hidden="1" oldHidden="1">
    <formula>Ведом.структура!$A$14:$I$457</formula>
  </rdn>
  <rcv guid="{EB0A41C3-EF34-4619-B9DF-F61492617999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62" sId="1" numFmtId="4">
    <oc r="G196">
      <v>256178</v>
    </oc>
    <nc r="G196"/>
  </rcc>
  <rcc rId="4363" sId="1" numFmtId="4">
    <oc r="H196">
      <v>256178</v>
    </oc>
    <nc r="H196"/>
  </rcc>
  <rcc rId="4364" sId="1" numFmtId="4">
    <oc r="G198">
      <v>5565.8</v>
    </oc>
    <nc r="G198"/>
  </rcc>
  <rcc rId="4365" sId="1" numFmtId="4">
    <oc r="H198">
      <v>5565.8</v>
    </oc>
    <nc r="H198"/>
  </rcc>
  <rcc rId="4366" sId="1" numFmtId="4">
    <oc r="G200">
      <v>4000</v>
    </oc>
    <nc r="G200"/>
  </rcc>
  <rcc rId="4367" sId="1" numFmtId="4">
    <oc r="H200">
      <v>4000</v>
    </oc>
    <nc r="H200"/>
  </rcc>
  <rcc rId="4368" sId="1">
    <oc r="G202">
      <f>27282+275.6</f>
    </oc>
    <nc r="G202"/>
  </rcc>
  <rcc rId="4369" sId="1" numFmtId="4">
    <oc r="H202">
      <v>0</v>
    </oc>
    <nc r="H202"/>
  </rcc>
  <rcc rId="4370" sId="1">
    <oc r="G204">
      <f>116435+15410</f>
    </oc>
    <nc r="G204"/>
  </rcc>
  <rcc rId="4371" sId="1">
    <oc r="H204">
      <f>116435+15410</f>
    </oc>
    <nc r="H204"/>
  </rcc>
  <rcc rId="4372" sId="1">
    <oc r="G206">
      <f>10584.6+10584.6</f>
    </oc>
    <nc r="G206"/>
  </rcc>
  <rcc rId="4373" sId="1">
    <oc r="H206">
      <f>10584.6+10584.6</f>
    </oc>
    <nc r="H206"/>
  </rcc>
  <rcc rId="4374" sId="1">
    <oc r="G208">
      <f>1380.2+28.2</f>
    </oc>
    <nc r="G208"/>
  </rcc>
  <rcc rId="4375" sId="1">
    <oc r="H208">
      <f>1380.2+28.2</f>
    </oc>
    <nc r="H208"/>
  </rcc>
  <rcc rId="4376" sId="1" numFmtId="4">
    <oc r="G210">
      <v>4690.3999999999996</v>
    </oc>
    <nc r="G210"/>
  </rcc>
  <rcc rId="4377" sId="1" numFmtId="4">
    <oc r="H210">
      <v>0</v>
    </oc>
    <nc r="H210"/>
  </rcc>
  <rcc rId="4378" sId="1" numFmtId="4">
    <oc r="G213">
      <v>255.2</v>
    </oc>
    <nc r="G213"/>
  </rcc>
  <rcc rId="4379" sId="1" numFmtId="4">
    <oc r="H213">
      <v>255.2</v>
    </oc>
    <nc r="H213"/>
  </rcc>
  <rcc rId="4380" sId="1">
    <oc r="G216">
      <f>8380+420</f>
    </oc>
    <nc r="G216"/>
  </rcc>
  <rcc rId="4381" sId="1">
    <oc r="H216">
      <f>8380+420</f>
    </oc>
    <nc r="H216"/>
  </rcc>
  <rcc rId="4382" sId="1" numFmtId="4">
    <oc r="G222">
      <v>78</v>
    </oc>
    <nc r="G222"/>
  </rcc>
  <rcc rId="4383" sId="1" numFmtId="4">
    <oc r="H222">
      <v>78</v>
    </oc>
    <nc r="H222"/>
  </rcc>
  <rcc rId="4384" sId="1" numFmtId="4">
    <oc r="G223">
      <v>795</v>
    </oc>
    <nc r="G223"/>
  </rcc>
  <rcc rId="4385" sId="1" numFmtId="4">
    <oc r="H223">
      <v>795</v>
    </oc>
    <nc r="H223"/>
  </rcc>
  <rcc rId="4386" sId="1">
    <oc r="G225">
      <f>10159.152+10480</f>
    </oc>
    <nc r="G225"/>
  </rcc>
  <rcc rId="4387" sId="1">
    <oc r="H225">
      <f>10159.152+10480</f>
    </oc>
    <nc r="H225"/>
  </rcc>
  <rcc rId="4388" sId="1">
    <oc r="G226">
      <f>32170.648+21202.1</f>
    </oc>
    <nc r="G226"/>
  </rcc>
  <rcc rId="4389" sId="1">
    <oc r="H226">
      <f>32170.648+21202.1</f>
    </oc>
    <nc r="H226"/>
  </rcc>
  <rcc rId="4390" sId="1">
    <oc r="G232">
      <f>395+8.1</f>
    </oc>
    <nc r="G232"/>
  </rcc>
  <rcc rId="4391" sId="1">
    <oc r="H232">
      <f>395+8.1</f>
    </oc>
    <nc r="H232"/>
  </rcc>
  <rcc rId="4392" sId="1" numFmtId="4">
    <oc r="G238">
      <v>5352.5</v>
    </oc>
    <nc r="G238"/>
  </rcc>
  <rcc rId="4393" sId="1" numFmtId="4">
    <oc r="H238">
      <v>5352.5</v>
    </oc>
    <nc r="H238"/>
  </rcc>
  <rcc rId="4394" sId="1" numFmtId="4">
    <oc r="G240">
      <v>5645.9</v>
    </oc>
    <nc r="G240"/>
  </rcc>
  <rcc rId="4395" sId="1" numFmtId="4">
    <oc r="H240">
      <v>5645.9</v>
    </oc>
    <nc r="H240"/>
  </rcc>
  <rcc rId="4396" sId="1" numFmtId="4">
    <oc r="G242">
      <v>61.7</v>
    </oc>
    <nc r="G242"/>
  </rcc>
  <rcc rId="4397" sId="1" numFmtId="4">
    <oc r="H242">
      <v>61.7</v>
    </oc>
    <nc r="H242"/>
  </rcc>
  <rcc rId="4398" sId="1" numFmtId="4">
    <oc r="G243">
      <v>18.600000000000001</v>
    </oc>
    <nc r="G243"/>
  </rcc>
  <rcc rId="4399" sId="1" numFmtId="4">
    <oc r="H243">
      <v>18.600000000000001</v>
    </oc>
    <nc r="H243"/>
  </rcc>
  <rcc rId="4400" sId="1" numFmtId="4">
    <oc r="G249">
      <v>65.099999999999994</v>
    </oc>
    <nc r="G249"/>
  </rcc>
  <rcc rId="4401" sId="1" numFmtId="4">
    <oc r="H249">
      <v>65.099999999999994</v>
    </oc>
    <nc r="H249"/>
  </rcc>
  <rcc rId="4402" sId="1" numFmtId="4">
    <oc r="G250">
      <v>19.600000000000001</v>
    </oc>
    <nc r="G250"/>
  </rcc>
  <rcc rId="4403" sId="1" numFmtId="4">
    <oc r="H250">
      <v>19.600000000000001</v>
    </oc>
    <nc r="H250"/>
  </rcc>
  <rcc rId="4404" sId="1" numFmtId="4">
    <oc r="G254">
      <v>82</v>
    </oc>
    <nc r="G254"/>
  </rcc>
  <rcc rId="4405" sId="1" numFmtId="4">
    <oc r="H254">
      <v>82</v>
    </oc>
    <nc r="H254"/>
  </rcc>
  <rcc rId="4406" sId="1" numFmtId="4">
    <oc r="G256">
      <v>914.2</v>
    </oc>
    <nc r="G256"/>
  </rcc>
  <rcc rId="4407" sId="1" numFmtId="4">
    <oc r="H256">
      <v>914.2</v>
    </oc>
    <nc r="H256"/>
  </rcc>
  <rcc rId="4408" sId="1" numFmtId="4">
    <oc r="G257">
      <v>276</v>
    </oc>
    <nc r="G257"/>
  </rcc>
  <rcc rId="4409" sId="1" numFmtId="4">
    <oc r="H257">
      <v>276</v>
    </oc>
    <nc r="H257"/>
  </rcc>
  <rcc rId="4410" sId="1" numFmtId="4">
    <oc r="G259">
      <v>24865.3</v>
    </oc>
    <nc r="G259"/>
  </rcc>
  <rcc rId="4411" sId="1" numFmtId="4">
    <oc r="H259">
      <v>24865.3</v>
    </oc>
    <nc r="H259"/>
  </rcc>
  <rcc rId="4412" sId="1" numFmtId="4">
    <oc r="G260">
      <v>7509.3</v>
    </oc>
    <nc r="G260"/>
  </rcc>
  <rcc rId="4413" sId="1" numFmtId="4">
    <oc r="H260">
      <v>7509.3</v>
    </oc>
    <nc r="H260"/>
  </rcc>
  <rcc rId="4414" sId="1" numFmtId="4">
    <oc r="G261">
      <v>16</v>
    </oc>
    <nc r="G261"/>
  </rcc>
  <rcc rId="4415" sId="1" numFmtId="4">
    <oc r="H261">
      <v>16</v>
    </oc>
    <nc r="H261"/>
  </rcc>
  <rcc rId="4416" sId="1" numFmtId="4">
    <oc r="G262">
      <v>600</v>
    </oc>
    <nc r="G262"/>
  </rcc>
  <rcc rId="4417" sId="1" numFmtId="4">
    <oc r="H262">
      <v>600</v>
    </oc>
    <nc r="H262"/>
  </rcc>
  <rcc rId="4418" sId="1" numFmtId="4">
    <oc r="G263">
      <v>30</v>
    </oc>
    <nc r="G263"/>
  </rcc>
  <rcc rId="4419" sId="1" numFmtId="4">
    <oc r="H263">
      <v>30</v>
    </oc>
    <nc r="H263"/>
  </rcc>
  <rcc rId="4420" sId="1" numFmtId="4">
    <oc r="G264">
      <v>34</v>
    </oc>
    <nc r="G264"/>
  </rcc>
  <rcc rId="4421" sId="1" numFmtId="4">
    <oc r="H264">
      <v>34</v>
    </oc>
    <nc r="H264"/>
  </rcc>
  <rcc rId="4422" sId="1" numFmtId="4">
    <oc r="G268">
      <v>200</v>
    </oc>
    <nc r="G268"/>
  </rcc>
  <rcc rId="4423" sId="1" numFmtId="4">
    <oc r="H268">
      <v>200</v>
    </oc>
    <nc r="H268"/>
  </rcc>
  <rcc rId="4424" sId="1" numFmtId="4">
    <oc r="G271">
      <v>98</v>
    </oc>
    <nc r="G271"/>
  </rcc>
  <rcc rId="4425" sId="1" numFmtId="4">
    <oc r="H271">
      <v>98</v>
    </oc>
    <nc r="H271"/>
  </rcc>
  <rcc rId="4426" sId="1" numFmtId="4">
    <oc r="G276">
      <v>2000</v>
    </oc>
    <nc r="G276">
      <v>1500</v>
    </nc>
  </rcc>
  <rcc rId="4427" sId="1" numFmtId="4">
    <oc r="H276">
      <v>2000</v>
    </oc>
    <nc r="H276">
      <v>1500</v>
    </nc>
  </rcc>
  <rfmt sheetId="1" sqref="G275:H275">
    <dxf>
      <fill>
        <patternFill>
          <bgColor rgb="FF92D050"/>
        </patternFill>
      </fill>
    </dxf>
  </rfmt>
  <rcc rId="4428" sId="1">
    <nc r="I276">
      <v>1500</v>
    </nc>
  </rcc>
  <rcc rId="4429" sId="1">
    <nc r="J276">
      <v>1500</v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0" sId="1" numFmtId="4">
    <nc r="G210">
      <v>5297.5</v>
    </nc>
  </rcc>
  <rcc rId="4431" sId="1" numFmtId="4">
    <nc r="H210">
      <v>317.8</v>
    </nc>
  </rcc>
  <rcc rId="4432" sId="1">
    <nc r="I210">
      <v>5297.5</v>
    </nc>
  </rcc>
  <rcc rId="4433" sId="1">
    <nc r="J210">
      <v>317.8</v>
    </nc>
  </rcc>
  <rfmt sheetId="1" sqref="G209:H209">
    <dxf>
      <fill>
        <patternFill>
          <bgColor rgb="FF92D050"/>
        </patternFill>
      </fill>
    </dxf>
  </rfmt>
  <rrc rId="4434" sId="1" ref="A187:XFD188" action="insertRow"/>
  <rfmt sheetId="1" sqref="A187" start="0" length="0">
    <dxf>
      <font>
        <i/>
        <name val="Times New Roman"/>
        <family val="1"/>
      </font>
    </dxf>
  </rfmt>
  <rfmt sheetId="1" sqref="B187" start="0" length="0">
    <dxf>
      <font>
        <i/>
        <name val="Times New Roman"/>
        <family val="1"/>
      </font>
    </dxf>
  </rfmt>
  <rfmt sheetId="1" sqref="C187" start="0" length="0">
    <dxf>
      <font>
        <i/>
        <name val="Times New Roman"/>
        <family val="1"/>
      </font>
    </dxf>
  </rfmt>
  <rfmt sheetId="1" sqref="D187" start="0" length="0">
    <dxf>
      <font>
        <i/>
        <name val="Times New Roman"/>
        <family val="1"/>
      </font>
    </dxf>
  </rfmt>
  <rfmt sheetId="1" sqref="E187" start="0" length="0">
    <dxf>
      <font>
        <i/>
        <name val="Times New Roman"/>
        <family val="1"/>
      </font>
    </dxf>
  </rfmt>
  <rfmt sheetId="1" sqref="F187" start="0" length="0">
    <dxf>
      <font>
        <i/>
        <name val="Times New Roman"/>
        <family val="1"/>
      </font>
    </dxf>
  </rfmt>
  <rfmt sheetId="1" sqref="G187" start="0" length="0">
    <dxf>
      <font>
        <i/>
        <name val="Times New Roman"/>
        <family val="1"/>
      </font>
      <fill>
        <patternFill>
          <bgColor rgb="FF92D050"/>
        </patternFill>
      </fill>
    </dxf>
  </rfmt>
  <rcc rId="4435" sId="1" odxf="1" dxf="1">
    <nc r="H187">
      <f>H188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4436" sId="1">
    <nc r="A18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4437" sId="1">
    <nc r="B187" t="inlineStr">
      <is>
        <t>969</t>
      </is>
    </nc>
  </rcc>
  <rcc rId="4438" sId="1">
    <nc r="C187" t="inlineStr">
      <is>
        <t>07</t>
      </is>
    </nc>
  </rcc>
  <rcc rId="4439" sId="1">
    <nc r="D187" t="inlineStr">
      <is>
        <t>01</t>
      </is>
    </nc>
  </rcc>
  <rcc rId="4440" sId="1">
    <nc r="E187" t="inlineStr">
      <is>
        <t>10101 74880</t>
      </is>
    </nc>
  </rcc>
  <rcc rId="4441" sId="1">
    <nc r="G187">
      <f>G188</f>
    </nc>
  </rcc>
  <rcc rId="4442" sId="1" odxf="1" dxf="1">
    <nc r="A1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443" sId="1">
    <nc r="B188" t="inlineStr">
      <is>
        <t>969</t>
      </is>
    </nc>
  </rcc>
  <rcc rId="4444" sId="1">
    <nc r="C188" t="inlineStr">
      <is>
        <t>07</t>
      </is>
    </nc>
  </rcc>
  <rcc rId="4445" sId="1">
    <nc r="D188" t="inlineStr">
      <is>
        <t>01</t>
      </is>
    </nc>
  </rcc>
  <rcc rId="4446" sId="1">
    <nc r="E188" t="inlineStr">
      <is>
        <t>10101 74880</t>
      </is>
    </nc>
  </rcc>
  <rcc rId="4447" sId="1">
    <nc r="F188" t="inlineStr">
      <is>
        <t>612</t>
      </is>
    </nc>
  </rcc>
  <rcc rId="4448" sId="1" numFmtId="4">
    <nc r="G188">
      <v>324</v>
    </nc>
  </rcc>
  <rcc rId="4449" sId="1" numFmtId="4">
    <nc r="H188">
      <v>324</v>
    </nc>
  </rcc>
  <rcc rId="4450" sId="1">
    <nc r="I188">
      <v>324</v>
    </nc>
  </rcc>
  <rcc rId="4451" sId="1">
    <nc r="J188">
      <v>324</v>
    </nc>
  </rcc>
  <rcc rId="4452" sId="1">
    <oc r="G182">
      <f>G183+G189+G185</f>
    </oc>
    <nc r="G182">
      <f>G183+G189+G185+G187</f>
    </nc>
  </rcc>
  <rcc rId="4453" sId="1">
    <oc r="H182">
      <f>H183+H189+H185</f>
    </oc>
    <nc r="H182">
      <f>H183+H189+H185+H187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 numFmtId="4">
    <nc r="G242">
      <v>7002.5</v>
    </nc>
  </rcc>
  <rcc rId="4455" sId="1" numFmtId="4">
    <nc r="H242">
      <v>7002.5</v>
    </nc>
  </rcc>
  <rcc rId="4456" sId="1">
    <nc r="I242">
      <v>7002.5</v>
    </nc>
  </rcc>
  <rcc rId="4457" sId="1">
    <nc r="J242">
      <v>7002.5</v>
    </nc>
  </rcc>
  <rfmt sheetId="1" sqref="G241:H241">
    <dxf>
      <fill>
        <patternFill>
          <bgColor rgb="FF92D050"/>
        </patternFill>
      </fill>
    </dxf>
  </rfmt>
  <rcc rId="4458" sId="1" numFmtId="4">
    <nc r="G251">
      <v>80.644999999999996</v>
    </nc>
  </rcc>
  <rcc rId="4459" sId="1" numFmtId="4">
    <nc r="H251">
      <v>80.644999999999996</v>
    </nc>
  </rcc>
  <rcc rId="4460" sId="1" numFmtId="4">
    <nc r="G252">
      <v>24.355</v>
    </nc>
  </rcc>
  <rcc rId="4461" sId="1" numFmtId="4">
    <nc r="H252">
      <v>24.355</v>
    </nc>
  </rcc>
  <rcc rId="4462" sId="1">
    <nc r="I250">
      <v>105</v>
    </nc>
  </rcc>
  <rcc rId="4463" sId="1">
    <nc r="K250">
      <v>105</v>
    </nc>
  </rcc>
  <rfmt sheetId="1" sqref="G250:H250">
    <dxf>
      <fill>
        <patternFill>
          <bgColor rgb="FF92D05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4" sId="1" numFmtId="4">
    <nc r="G244">
      <v>71.349999999999994</v>
    </nc>
  </rcc>
  <rcc rId="4465" sId="1" numFmtId="4">
    <nc r="H244">
      <v>71.349999999999994</v>
    </nc>
  </rcc>
  <rcc rId="4466" sId="1" numFmtId="4">
    <nc r="G245">
      <v>21.55</v>
    </nc>
  </rcc>
  <rcc rId="4467" sId="1" numFmtId="4">
    <nc r="H245">
      <v>21.55</v>
    </nc>
  </rcc>
  <rcc rId="4468" sId="1">
    <nc r="I243">
      <v>92.9</v>
    </nc>
  </rcc>
  <rcc rId="4469" sId="1">
    <nc r="J243">
      <v>92.9</v>
    </nc>
  </rcc>
  <rfmt sheetId="1" sqref="G243:H243">
    <dxf>
      <fill>
        <patternFill>
          <bgColor rgb="FF92D050"/>
        </patternFill>
      </fill>
    </dxf>
  </rfmt>
  <rcc rId="4470" sId="1" numFmtId="4">
    <nc r="G184">
      <v>157463.1</v>
    </nc>
  </rcc>
  <rcc rId="4471" sId="1" numFmtId="4">
    <nc r="H184">
      <v>157463.1</v>
    </nc>
  </rcc>
  <rcc rId="4472" sId="1">
    <nc r="I184">
      <v>157463.1</v>
    </nc>
  </rcc>
  <rcc rId="4473" sId="1">
    <nc r="J184">
      <v>157463.1</v>
    </nc>
  </rcc>
  <rfmt sheetId="1" sqref="G183:H183">
    <dxf>
      <fill>
        <patternFill>
          <bgColor rgb="FF92D050"/>
        </patternFill>
      </fill>
    </dxf>
  </rfmt>
  <rcc rId="4474" sId="1" numFmtId="4">
    <nc r="G198">
      <v>300594.09999999998</v>
    </nc>
  </rcc>
  <rcc rId="4475" sId="1" numFmtId="4">
    <nc r="H198">
      <v>300594.09999999998</v>
    </nc>
  </rcc>
  <rcc rId="4476" sId="1">
    <nc r="I198">
      <v>300594.09999999998</v>
    </nc>
  </rcc>
  <rcc rId="4477" sId="1">
    <nc r="J198">
      <v>300594.09999999998</v>
    </nc>
  </rcc>
  <rfmt sheetId="1" sqref="G197:H197">
    <dxf>
      <fill>
        <patternFill>
          <bgColor rgb="FF92D050"/>
        </patternFill>
      </fill>
    </dxf>
  </rfmt>
  <rcc rId="4478" sId="1" numFmtId="4">
    <nc r="G200">
      <v>5565.8</v>
    </nc>
  </rcc>
  <rcc rId="4479" sId="1" numFmtId="4">
    <nc r="H200">
      <v>5565.8</v>
    </nc>
  </rcc>
  <rcc rId="4480" sId="1">
    <nc r="I200">
      <v>5565.8</v>
    </nc>
  </rcc>
  <rcc rId="4481" sId="1">
    <nc r="J200">
      <v>5565.8</v>
    </nc>
  </rcc>
  <rfmt sheetId="1" sqref="G199:H199">
    <dxf>
      <fill>
        <patternFill>
          <bgColor rgb="FF92D050"/>
        </patternFill>
      </fill>
    </dxf>
  </rfmt>
  <rcc rId="4482" sId="1">
    <oc r="E207" t="inlineStr">
      <is>
        <t>10201S2К90</t>
      </is>
    </oc>
    <nc r="E207" t="inlineStr">
      <is>
        <t>10201 S2К90</t>
      </is>
    </nc>
  </rcc>
  <rcc rId="4483" sId="1">
    <oc r="E208" t="inlineStr">
      <is>
        <t>10201S2К90</t>
      </is>
    </oc>
    <nc r="E208" t="inlineStr">
      <is>
        <t>10201 S2К90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 numFmtId="4">
    <nc r="G240">
      <v>6191</v>
    </nc>
  </rcc>
  <rcc rId="4485" sId="1" numFmtId="4">
    <nc r="H240">
      <v>6191</v>
    </nc>
  </rcc>
  <rcc rId="4486" sId="1">
    <nc r="I240">
      <v>6191</v>
    </nc>
  </rcc>
  <rcc rId="4487" sId="1">
    <nc r="J240">
      <v>6191</v>
    </nc>
  </rcc>
  <rfmt sheetId="1" sqref="G239:H239">
    <dxf>
      <fill>
        <patternFill>
          <bgColor rgb="FF92D050"/>
        </patternFill>
      </fill>
    </dxf>
  </rfmt>
  <rcc rId="4488" sId="1" numFmtId="4">
    <nc r="G256">
      <v>83.5</v>
    </nc>
  </rcc>
  <rcc rId="4489" sId="1" numFmtId="4">
    <nc r="H256">
      <v>83.5</v>
    </nc>
  </rcc>
  <rcc rId="4490" sId="1">
    <nc r="I256">
      <v>83.5</v>
    </nc>
  </rcc>
  <rcc rId="4491" sId="1">
    <nc r="J256">
      <v>83.5</v>
    </nc>
  </rcc>
  <rfmt sheetId="1" sqref="G255:H255">
    <dxf>
      <fill>
        <patternFill>
          <bgColor rgb="FF92D050"/>
        </patternFill>
      </fill>
    </dxf>
  </rfmt>
  <rcc rId="4492" sId="1">
    <nc r="G206">
      <f>136340.4</f>
    </nc>
  </rcc>
  <rcc rId="4493" sId="1">
    <nc r="H206">
      <f>136340.4</f>
    </nc>
  </rcc>
  <rcc rId="4494" sId="1">
    <nc r="I206">
      <v>136340.4</v>
    </nc>
  </rcc>
  <rcc rId="4495" sId="1">
    <nc r="J206">
      <v>136340.4</v>
    </nc>
  </rcc>
  <rfmt sheetId="1" sqref="G205:H205">
    <dxf>
      <fill>
        <patternFill>
          <bgColor rgb="FF92D05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6" sId="1" numFmtId="4">
    <nc r="G210">
      <v>1523.6</v>
    </nc>
  </rcc>
  <rcc rId="4497" sId="1" numFmtId="4">
    <nc r="H210">
      <v>1523.6</v>
    </nc>
  </rcc>
  <rcc rId="4498" sId="1">
    <nc r="I210">
      <v>1523.6</v>
    </nc>
  </rcc>
  <rcc rId="4499" sId="1">
    <nc r="J210">
      <v>1523.6</v>
    </nc>
  </rcc>
  <rfmt sheetId="1" sqref="G209:H209">
    <dxf>
      <fill>
        <patternFill>
          <bgColor rgb="FF92D050"/>
        </patternFill>
      </fill>
    </dxf>
  </rfmt>
  <rcc rId="4500" sId="1" numFmtId="4">
    <nc r="G234">
      <v>395</v>
    </nc>
  </rcc>
  <rcc rId="4501" sId="1" numFmtId="4">
    <nc r="H234">
      <v>395</v>
    </nc>
  </rcc>
  <rcc rId="4502" sId="1">
    <nc r="I234">
      <v>395</v>
    </nc>
  </rcc>
  <rcc rId="4503" sId="1">
    <nc r="J234">
      <v>395</v>
    </nc>
  </rcc>
  <rfmt sheetId="1" sqref="G233:H233">
    <dxf>
      <fill>
        <patternFill>
          <bgColor rgb="FF92D050"/>
        </patternFill>
      </fill>
    </dxf>
  </rfmt>
  <rfmt sheetId="1" sqref="G207:H207">
    <dxf>
      <fill>
        <patternFill>
          <bgColor rgb="FF92D050"/>
        </patternFill>
      </fill>
    </dxf>
  </rfmt>
  <rcc rId="4504" sId="1" numFmtId="4">
    <nc r="G204">
      <v>27585.599999999999</v>
    </nc>
  </rcc>
  <rcc rId="4505" sId="1" numFmtId="4">
    <nc r="H204">
      <v>0</v>
    </nc>
  </rcc>
  <rcc rId="4506" sId="1">
    <nc r="I204">
      <v>27585.599999999999</v>
    </nc>
  </rcc>
  <rcc rId="4507" sId="1">
    <nc r="J204">
      <v>0</v>
    </nc>
  </rcc>
  <rfmt sheetId="1" sqref="G203:H203">
    <dxf>
      <fill>
        <patternFill>
          <bgColor rgb="FF92D050"/>
        </patternFill>
      </fill>
    </dxf>
  </rfmt>
  <rcc rId="4508" sId="1" numFmtId="4">
    <nc r="G208">
      <v>10804.3</v>
    </nc>
  </rcc>
  <rcc rId="4509" sId="1" numFmtId="4">
    <nc r="H208">
      <v>10804.3</v>
    </nc>
  </rcc>
  <rcc rId="4510" sId="1">
    <nc r="I208">
      <v>10804.3</v>
    </nc>
  </rcc>
  <rcc rId="4511" sId="1">
    <nc r="J208">
      <v>10804.3</v>
    </nc>
  </rcc>
  <rcc rId="4512" sId="1" numFmtId="4">
    <nc r="G227">
      <v>30260.7</v>
    </nc>
  </rcc>
  <rcc rId="4513" sId="1" numFmtId="4">
    <nc r="H227">
      <v>30260.7</v>
    </nc>
  </rcc>
  <rcc rId="4514" sId="1">
    <nc r="I227">
      <v>30260.7</v>
    </nc>
  </rcc>
  <rcc rId="4515" sId="1">
    <nc r="J227">
      <v>30260.7</v>
    </nc>
  </rcc>
  <rfmt sheetId="1" sqref="G226:H226">
    <dxf>
      <fill>
        <patternFill>
          <bgColor rgb="FF92D050"/>
        </patternFill>
      </fill>
    </dxf>
  </rfmt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6" sId="1">
    <oc r="G174">
      <f>41.3+12.49</f>
    </oc>
    <nc r="G174"/>
  </rcc>
  <rcc rId="4517" sId="1">
    <oc r="H174">
      <f>41.3+12.49</f>
    </oc>
    <nc r="H174"/>
  </rcc>
  <rcc rId="4518" sId="1">
    <oc r="G175">
      <f>145.8+29.37</f>
    </oc>
    <nc r="G175"/>
  </rcc>
  <rcc rId="4519" sId="1">
    <oc r="H175">
      <f>145.8+29.37</f>
    </oc>
    <nc r="H175"/>
  </rcc>
  <rcc rId="4520" sId="1" numFmtId="4">
    <oc r="G176">
      <v>14.685</v>
    </oc>
    <nc r="G176"/>
  </rcc>
  <rcc rId="4521" sId="1" numFmtId="4">
    <oc r="H176">
      <v>14.685</v>
    </oc>
    <nc r="H176"/>
  </rcc>
  <rcc rId="4522" sId="1" numFmtId="4">
    <oc r="G173">
      <f>136.8+41.355</f>
    </oc>
    <nc r="G173">
      <v>494.8</v>
    </nc>
  </rcc>
  <rcc rId="4523" sId="1" numFmtId="4">
    <oc r="H173">
      <f>136.8+41.355</f>
    </oc>
    <nc r="H173">
      <v>494.8</v>
    </nc>
  </rcc>
  <rfmt sheetId="1" sqref="G172:H172">
    <dxf>
      <fill>
        <patternFill>
          <bgColor rgb="FF92D050"/>
        </patternFill>
      </fill>
    </dxf>
  </rfmt>
  <rcc rId="4524" sId="1">
    <nc r="I173">
      <v>494.8</v>
    </nc>
  </rcc>
  <rcc rId="4525" sId="1">
    <nc r="J173">
      <v>494.8</v>
    </nc>
  </rcc>
  <rcc rId="4526" sId="1" numFmtId="4">
    <oc r="G169">
      <v>536.79999999999995</v>
    </oc>
    <nc r="G169"/>
  </rcc>
  <rcc rId="4527" sId="1" numFmtId="4">
    <oc r="H169">
      <v>536.79999999999995</v>
    </oc>
    <nc r="H169"/>
  </rcc>
  <rcc rId="4528" sId="1" numFmtId="4">
    <oc r="G170">
      <v>140</v>
    </oc>
    <nc r="G170"/>
  </rcc>
  <rcc rId="4529" sId="1" numFmtId="4">
    <oc r="H170">
      <v>140</v>
    </oc>
    <nc r="H170"/>
  </rcc>
  <rcc rId="4530" sId="1" numFmtId="4">
    <oc r="G171">
      <v>241.16</v>
    </oc>
    <nc r="G171"/>
  </rcc>
  <rcc rId="4531" sId="1" numFmtId="4">
    <oc r="H171">
      <v>241.16</v>
    </oc>
    <nc r="H171"/>
  </rcc>
  <rcc rId="4532" sId="1" numFmtId="4">
    <oc r="G168">
      <v>1778.74</v>
    </oc>
    <nc r="G168">
      <v>2513.1999999999998</v>
    </nc>
  </rcc>
  <rcc rId="4533" sId="1" numFmtId="4">
    <oc r="H168">
      <v>1778.74</v>
    </oc>
    <nc r="H168">
      <v>2513.1999999999998</v>
    </nc>
  </rcc>
  <rcc rId="4534" sId="1">
    <nc r="I168">
      <v>2513.1999999999998</v>
    </nc>
  </rcc>
  <rcc rId="4535" sId="1">
    <nc r="J168">
      <v>2513.1999999999998</v>
    </nc>
  </rcc>
  <rfmt sheetId="1" sqref="G167:H167">
    <dxf>
      <fill>
        <patternFill>
          <bgColor rgb="FF92D050"/>
        </patternFill>
      </fill>
    </dxf>
  </rfmt>
  <rcc rId="4536" sId="1" numFmtId="4">
    <oc r="G164">
      <v>359.06</v>
    </oc>
    <nc r="G164"/>
  </rcc>
  <rcc rId="4537" sId="1" numFmtId="4">
    <oc r="H164">
      <v>374.31</v>
    </oc>
    <nc r="H164"/>
  </rcc>
  <rcc rId="4538" sId="1" numFmtId="4">
    <oc r="G165">
      <v>26</v>
    </oc>
    <nc r="G165"/>
  </rcc>
  <rcc rId="4539" sId="1" numFmtId="4">
    <oc r="H165">
      <v>26</v>
    </oc>
    <nc r="H165"/>
  </rcc>
  <rcc rId="4540" sId="1" numFmtId="4">
    <oc r="G166">
      <v>44</v>
    </oc>
    <nc r="G166"/>
  </rcc>
  <rcc rId="4541" sId="1" numFmtId="4">
    <oc r="H166">
      <v>44</v>
    </oc>
    <nc r="H166"/>
  </rcc>
  <rcc rId="4542" sId="1" numFmtId="4">
    <oc r="G163">
      <v>1188.94</v>
    </oc>
    <nc r="G163">
      <v>1884.9</v>
    </nc>
  </rcc>
  <rcc rId="4543" sId="1" numFmtId="4">
    <oc r="H163">
      <v>1174.8699999999999</v>
    </oc>
    <nc r="H163">
      <v>1884.9</v>
    </nc>
  </rcc>
  <rfmt sheetId="1" sqref="G162:H162">
    <dxf>
      <fill>
        <patternFill>
          <bgColor rgb="FF92D050"/>
        </patternFill>
      </fill>
    </dxf>
  </rfmt>
  <rcc rId="4544" sId="1">
    <nc r="I163">
      <v>1884.9</v>
    </nc>
  </rcc>
  <rcc rId="4545" sId="1">
    <nc r="J163">
      <v>1884.9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6" sId="1">
    <oc r="G159">
      <f>3010.8+61.4+344.6</f>
    </oc>
    <nc r="G159"/>
  </rcc>
  <rcc rId="4547" sId="1" numFmtId="4">
    <oc r="H159">
      <v>0</v>
    </oc>
    <nc r="H159"/>
  </rcc>
  <rcc rId="4548" sId="1" numFmtId="4">
    <oc r="G154">
      <v>5420</v>
    </oc>
    <nc r="G154"/>
  </rcc>
  <rcc rId="4549" sId="1" numFmtId="4">
    <oc r="H154">
      <v>5420</v>
    </oc>
    <nc r="H154"/>
  </rcc>
  <rcc rId="4550" sId="1" numFmtId="4">
    <oc r="G148">
      <v>130</v>
    </oc>
    <nc r="G148"/>
  </rcc>
  <rcc rId="4551" sId="1" numFmtId="4">
    <oc r="H148">
      <v>100</v>
    </oc>
    <nc r="H148"/>
  </rcc>
  <rcc rId="4552" sId="1">
    <oc r="G145">
      <f>16327.6-350-130</f>
    </oc>
    <nc r="G145"/>
  </rcc>
  <rcc rId="4553" sId="1">
    <oc r="H145">
      <f>16327.6-100-370</f>
    </oc>
    <nc r="H145"/>
  </rcc>
  <rcc rId="4554" sId="1">
    <oc r="G140">
      <f>512.4+512.4</f>
    </oc>
    <nc r="G140"/>
  </rcc>
  <rcc rId="4555" sId="1" numFmtId="4">
    <oc r="H140">
      <v>0</v>
    </oc>
    <nc r="H140"/>
  </rcc>
  <rcc rId="4556" sId="1" numFmtId="4">
    <oc r="G135">
      <v>3.8</v>
    </oc>
    <nc r="G135"/>
  </rcc>
  <rcc rId="4557" sId="1" numFmtId="4">
    <oc r="H135">
      <v>3.8</v>
    </oc>
    <nc r="H135"/>
  </rcc>
  <rcc rId="4558" sId="1" numFmtId="4">
    <oc r="G132">
      <v>181</v>
    </oc>
    <nc r="G132"/>
  </rcc>
  <rcc rId="4559" sId="1" numFmtId="4">
    <oc r="H132">
      <v>181</v>
    </oc>
    <nc r="H132"/>
  </rcc>
  <rcc rId="4560" sId="1" numFmtId="4">
    <oc r="G128">
      <v>30</v>
    </oc>
    <nc r="G128"/>
  </rcc>
  <rcc rId="4561" sId="1" numFmtId="4">
    <oc r="H128">
      <v>30</v>
    </oc>
    <nc r="H128"/>
  </rcc>
  <rcc rId="4562" sId="1" numFmtId="4">
    <oc r="G123">
      <v>112975.6</v>
    </oc>
    <nc r="G123"/>
  </rcc>
  <rcc rId="4563" sId="1" numFmtId="4">
    <oc r="H123">
      <v>713.9</v>
    </oc>
    <nc r="H123"/>
  </rcc>
  <rcc rId="4564" sId="1" numFmtId="4">
    <oc r="G117">
      <v>3366.9</v>
    </oc>
    <nc r="G117"/>
  </rcc>
  <rcc rId="4565" sId="1" numFmtId="4">
    <oc r="H117">
      <v>3366.9</v>
    </oc>
    <nc r="H117"/>
  </rcc>
  <rcc rId="4566" sId="1" numFmtId="4">
    <oc r="G114">
      <v>38.799999999999997</v>
    </oc>
    <nc r="G114"/>
  </rcc>
  <rcc rId="4567" sId="1" numFmtId="4">
    <oc r="H114">
      <v>38.799999999999997</v>
    </oc>
    <nc r="H114"/>
  </rcc>
  <rcc rId="4568" sId="1" numFmtId="4">
    <oc r="G115">
      <v>11.7</v>
    </oc>
    <nc r="G115"/>
  </rcc>
  <rcc rId="4569" sId="1" numFmtId="4">
    <oc r="H115">
      <v>11.7</v>
    </oc>
    <nc r="H115"/>
  </rcc>
  <rcc rId="4570" sId="1" numFmtId="4">
    <oc r="G109">
      <v>1500</v>
    </oc>
    <nc r="G109"/>
  </rcc>
  <rcc rId="4571" sId="1" numFmtId="4">
    <oc r="H109">
      <v>1500</v>
    </oc>
    <nc r="H109"/>
  </rcc>
  <rcc rId="4572" sId="1" numFmtId="4">
    <oc r="G98">
      <v>15644.7</v>
    </oc>
    <nc r="G98"/>
  </rcc>
  <rcc rId="4573" sId="1" numFmtId="4">
    <oc r="H98">
      <v>15644.7</v>
    </oc>
    <nc r="H98"/>
  </rcc>
  <rcc rId="4574" sId="1" numFmtId="4">
    <oc r="G99">
      <v>4724.7</v>
    </oc>
    <nc r="G99"/>
  </rcc>
  <rcc rId="4575" sId="1" numFmtId="4">
    <oc r="H99">
      <v>4724.7</v>
    </oc>
    <nc r="H99"/>
  </rcc>
  <rcc rId="4576" sId="1" numFmtId="4">
    <oc r="G100">
      <v>65</v>
    </oc>
    <nc r="G100"/>
  </rcc>
  <rcc rId="4577" sId="1" numFmtId="4">
    <oc r="H100">
      <v>65</v>
    </oc>
    <nc r="H100"/>
  </rcc>
  <rcc rId="4578" sId="1" numFmtId="4">
    <oc r="G101">
      <v>2247.5</v>
    </oc>
    <nc r="G101"/>
  </rcc>
  <rcc rId="4579" sId="1" numFmtId="4">
    <oc r="H101">
      <v>2247.5</v>
    </oc>
    <nc r="H101"/>
  </rcc>
  <rcc rId="4580" sId="1" numFmtId="4">
    <oc r="G102">
      <v>90</v>
    </oc>
    <nc r="G102"/>
  </rcc>
  <rcc rId="4581" sId="1" numFmtId="4">
    <oc r="H102">
      <v>90</v>
    </oc>
    <nc r="H102"/>
  </rcc>
  <rcc rId="4582" sId="1" numFmtId="4">
    <oc r="G103">
      <v>50</v>
    </oc>
    <nc r="G103"/>
  </rcc>
  <rcc rId="4583" sId="1" numFmtId="4">
    <oc r="H103">
      <v>50</v>
    </oc>
    <nc r="H103"/>
  </rcc>
  <rcc rId="4584" sId="1" numFmtId="4">
    <oc r="G95">
      <v>3696</v>
    </oc>
    <nc r="G95"/>
  </rcc>
  <rcc rId="4585" sId="1" numFmtId="4">
    <oc r="H95">
      <v>3696</v>
    </oc>
    <nc r="H95"/>
  </rcc>
  <rcc rId="4586" sId="1" numFmtId="4">
    <oc r="G91">
      <v>108.39</v>
    </oc>
    <nc r="G91"/>
  </rcc>
  <rcc rId="4587" sId="1" numFmtId="4">
    <oc r="H91">
      <v>108.39</v>
    </oc>
    <nc r="H91"/>
  </rcc>
  <rcc rId="4588" sId="1" numFmtId="4">
    <oc r="G92">
      <v>22</v>
    </oc>
    <nc r="G92"/>
  </rcc>
  <rcc rId="4589" sId="1" numFmtId="4">
    <oc r="H92">
      <v>22</v>
    </oc>
    <nc r="H92"/>
  </rcc>
  <rcc rId="4590" sId="1" numFmtId="4">
    <oc r="G93">
      <v>24.21</v>
    </oc>
    <nc r="G93"/>
  </rcc>
  <rcc rId="4591" sId="1" numFmtId="4">
    <oc r="H93">
      <v>24.21</v>
    </oc>
    <nc r="H93"/>
  </rcc>
  <rcc rId="4592" sId="1" numFmtId="4">
    <oc r="G90">
      <v>358.9</v>
    </oc>
    <nc r="G90">
      <v>600</v>
    </nc>
  </rcc>
  <rcc rId="4593" sId="1" numFmtId="4">
    <oc r="H90">
      <v>358.9</v>
    </oc>
    <nc r="H90">
      <v>600</v>
    </nc>
  </rcc>
  <rcc rId="4594" sId="1">
    <nc r="I90">
      <v>600</v>
    </nc>
  </rcc>
  <rcc rId="4595" sId="1">
    <nc r="J90">
      <v>600</v>
    </nc>
  </rcc>
  <rfmt sheetId="1" sqref="G89:H89">
    <dxf>
      <fill>
        <patternFill>
          <bgColor rgb="FF92D050"/>
        </patternFill>
      </fill>
    </dxf>
  </rfmt>
  <rcc rId="4596" sId="1" numFmtId="4">
    <oc r="G85">
      <v>4</v>
    </oc>
    <nc r="G85"/>
  </rcc>
  <rcc rId="4597" sId="1" numFmtId="4">
    <oc r="H85">
      <v>4</v>
    </oc>
    <nc r="H85"/>
  </rcc>
  <rcc rId="4598" sId="1" numFmtId="4">
    <oc r="G86">
      <v>151.30000000000001</v>
    </oc>
    <nc r="G86"/>
  </rcc>
  <rcc rId="4599" sId="1" numFmtId="4">
    <oc r="H86">
      <v>151.30000000000001</v>
    </oc>
    <nc r="H86"/>
  </rcc>
  <rcc rId="4600" sId="1" numFmtId="4">
    <oc r="G87">
      <v>40.6</v>
    </oc>
    <nc r="G87"/>
  </rcc>
  <rcc rId="4601" sId="1" numFmtId="4">
    <oc r="H87">
      <v>40.6</v>
    </oc>
    <nc r="H87"/>
  </rcc>
  <rcc rId="4602" sId="1" numFmtId="4">
    <oc r="G88">
      <v>92.9</v>
    </oc>
    <nc r="G88"/>
  </rcc>
  <rcc rId="4603" sId="1" numFmtId="4">
    <oc r="H88">
      <v>92.9</v>
    </oc>
    <nc r="H88"/>
  </rcc>
  <rcc rId="4604" sId="1" numFmtId="4">
    <oc r="G84">
      <v>501.3</v>
    </oc>
    <nc r="G84">
      <v>923.5</v>
    </nc>
  </rcc>
  <rcc rId="4605" sId="1" numFmtId="4">
    <oc r="H84">
      <v>501.3</v>
    </oc>
    <nc r="H84">
      <v>923.5</v>
    </nc>
  </rcc>
  <rfmt sheetId="1" sqref="G83:H83">
    <dxf>
      <fill>
        <patternFill>
          <bgColor rgb="FF92D050"/>
        </patternFill>
      </fill>
    </dxf>
  </rfmt>
  <rcc rId="4606" sId="1">
    <nc r="I84">
      <v>923.5</v>
    </nc>
  </rcc>
  <rcc rId="4607" sId="1">
    <nc r="J84">
      <v>923.5</v>
    </nc>
  </rcc>
  <rcc rId="4608" sId="1" numFmtId="4">
    <oc r="G82">
      <v>69.7</v>
    </oc>
    <nc r="G82"/>
  </rcc>
  <rcc rId="4609" sId="1" numFmtId="4">
    <oc r="H82">
      <v>69.7</v>
    </oc>
    <nc r="H82"/>
  </rcc>
  <rcc rId="4610" sId="1" numFmtId="4">
    <oc r="G81">
      <v>230.8</v>
    </oc>
    <nc r="G81">
      <v>412.2</v>
    </nc>
  </rcc>
  <rcc rId="4611" sId="1" numFmtId="4">
    <oc r="H81">
      <v>230.8</v>
    </oc>
    <nc r="H81">
      <v>412.2</v>
    </nc>
  </rcc>
  <rcc rId="4612" sId="1">
    <nc r="I81">
      <v>412.2</v>
    </nc>
  </rcc>
  <rcc rId="4613" sId="1">
    <nc r="J81">
      <v>412.2</v>
    </nc>
  </rcc>
  <rfmt sheetId="1" sqref="G80:H80">
    <dxf>
      <fill>
        <patternFill>
          <bgColor rgb="FF92D05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4" sId="1" numFmtId="4">
    <oc r="G78">
      <v>350</v>
    </oc>
    <nc r="G78"/>
  </rcc>
  <rcc rId="4615" sId="1" numFmtId="4">
    <oc r="H78">
      <v>370</v>
    </oc>
    <nc r="H78"/>
  </rcc>
  <rrc rId="4616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 numFmtId="30">
      <nc r="B7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7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75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8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9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20" sId="1" numFmtId="4">
    <oc r="G74">
      <v>250</v>
    </oc>
    <nc r="G74"/>
  </rcc>
  <rcc rId="4621" sId="1" numFmtId="4">
    <oc r="H74">
      <v>250</v>
    </oc>
    <nc r="H74"/>
  </rcc>
  <rcc rId="4622" sId="1" numFmtId="4">
    <oc r="G70">
      <v>180</v>
    </oc>
    <nc r="G70"/>
  </rcc>
  <rcc rId="4623" sId="1" numFmtId="4">
    <oc r="H70">
      <v>180</v>
    </oc>
    <nc r="H70"/>
  </rcc>
  <rcc rId="4624" sId="1" numFmtId="4">
    <oc r="G66">
      <v>135</v>
    </oc>
    <nc r="G66"/>
  </rcc>
  <rcc rId="4625" sId="1" numFmtId="4">
    <oc r="H66">
      <v>135</v>
    </oc>
    <nc r="H66"/>
  </rcc>
  <rcc rId="4626" sId="1" numFmtId="4">
    <oc r="G62">
      <v>300</v>
    </oc>
    <nc r="G62"/>
  </rcc>
  <rcc rId="4627" sId="1" numFmtId="4">
    <oc r="H62">
      <v>300</v>
    </oc>
    <nc r="H62"/>
  </rcc>
  <rcc rId="4628" sId="1" numFmtId="4">
    <oc r="G58">
      <v>50</v>
    </oc>
    <nc r="G58"/>
  </rcc>
  <rcc rId="4629" sId="1" numFmtId="4">
    <oc r="H58">
      <v>50</v>
    </oc>
    <nc r="H58"/>
  </rcc>
  <rcc rId="4630" sId="1">
    <oc r="G55">
      <f>208+208</f>
    </oc>
    <nc r="G55"/>
  </rcc>
  <rcc rId="4631" sId="1">
    <oc r="H55">
      <f>208+208</f>
    </oc>
    <nc r="H55"/>
  </rcc>
  <rcc rId="4632" sId="1" numFmtId="4">
    <oc r="G52">
      <v>100</v>
    </oc>
    <nc r="G52"/>
  </rcc>
  <rcc rId="4633" sId="1" numFmtId="4">
    <oc r="H52">
      <v>100</v>
    </oc>
    <nc r="H52"/>
  </rcc>
  <rcc rId="4634" sId="1">
    <oc r="G48">
      <f>G49+G59+G63+G67+G71+G75+#REF!</f>
    </oc>
    <nc r="G48">
      <f>G49+G59+G63+G67+G71+G75</f>
    </nc>
  </rcc>
  <rcc rId="4635" sId="1">
    <oc r="H48">
      <f>H49+H59+H63+H67+H71+H75+#REF!</f>
    </oc>
    <nc r="H48">
      <f>H49+H59+H63+H67+H71+H75</f>
    </nc>
  </rcc>
  <rcc rId="4636" sId="1" numFmtId="4">
    <oc r="G47">
      <v>500</v>
    </oc>
    <nc r="G47"/>
  </rcc>
  <rcc rId="4637" sId="1" numFmtId="4">
    <oc r="H47">
      <v>500</v>
    </oc>
    <nc r="H47"/>
  </rcc>
  <rrc rId="4638" sId="1" ref="A137:XFD137" action="deleteRow">
    <undo index="0" exp="ref" v="1" dr="H137" r="H132" sId="1"/>
    <undo index="0" exp="ref" v="1" dr="G137" r="G132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3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H138+H141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2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43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4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5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46" sId="1">
    <oc r="G132">
      <f>#REF!+G133</f>
    </oc>
    <nc r="G132">
      <f>G133</f>
    </nc>
  </rcc>
  <rcc rId="4647" sId="1">
    <oc r="H132">
      <f>#REF!+H133</f>
    </oc>
    <nc r="H132">
      <f>H133</f>
    </nc>
  </rcc>
  <rcc rId="4648" sId="1" numFmtId="4">
    <oc r="G274">
      <v>5064.6000000000004</v>
    </oc>
    <nc r="G274"/>
  </rcc>
  <rcc rId="4649" sId="1" numFmtId="4">
    <oc r="H274">
      <v>5064.6000000000004</v>
    </oc>
    <nc r="H274"/>
  </rcc>
  <rcc rId="4650" sId="1" numFmtId="4">
    <oc r="G275">
      <v>1529.5</v>
    </oc>
    <nc r="G275"/>
  </rcc>
  <rcc rId="4651" sId="1" numFmtId="4">
    <oc r="H275">
      <v>1529.5</v>
    </oc>
    <nc r="H275"/>
  </rcc>
  <rcc rId="4652" sId="1" numFmtId="4">
    <oc r="G282">
      <v>23573.4</v>
    </oc>
    <nc r="G282"/>
  </rcc>
  <rcc rId="4653" sId="1" numFmtId="4">
    <oc r="H282">
      <v>23777.1</v>
    </oc>
    <nc r="H282"/>
  </rcc>
  <rcc rId="4654" sId="1" numFmtId="4">
    <oc r="G284">
      <v>126.5</v>
    </oc>
    <nc r="G284"/>
  </rcc>
  <rcc rId="4655" sId="1" numFmtId="4">
    <oc r="H284">
      <v>131.6</v>
    </oc>
    <nc r="H284"/>
  </rcc>
  <rcc rId="4656" sId="1" numFmtId="4">
    <oc r="G292">
      <v>4503.8</v>
    </oc>
    <nc r="G292"/>
  </rcc>
  <rcc rId="4657" sId="1" numFmtId="4">
    <oc r="H292">
      <v>4503.8</v>
    </oc>
    <nc r="H292"/>
  </rcc>
  <rcc rId="4658" sId="1" numFmtId="4">
    <oc r="G293">
      <v>1360.2</v>
    </oc>
    <nc r="G293"/>
  </rcc>
  <rcc rId="4659" sId="1" numFmtId="4">
    <oc r="H293">
      <v>1360.2</v>
    </oc>
    <nc r="H293"/>
  </rcc>
  <rcc rId="4660" sId="1" numFmtId="4">
    <oc r="G296">
      <v>350</v>
    </oc>
    <nc r="G296"/>
  </rcc>
  <rcc rId="4661" sId="1" numFmtId="4">
    <oc r="H296">
      <v>350</v>
    </oc>
    <nc r="H296"/>
  </rcc>
  <rcc rId="4662" sId="1">
    <oc r="G299">
      <f>10869+543.5</f>
    </oc>
    <nc r="G299"/>
  </rcc>
  <rcc rId="4663" sId="1" numFmtId="4">
    <oc r="H299">
      <v>0</v>
    </oc>
    <nc r="H299"/>
  </rcc>
  <rcc rId="4664" sId="1" numFmtId="4">
    <oc r="G306">
      <v>17764.599999999999</v>
    </oc>
    <nc r="G306"/>
  </rcc>
  <rcc rId="4665" sId="1" numFmtId="4">
    <oc r="H306">
      <v>17764.599999999999</v>
    </oc>
    <nc r="H306"/>
  </rcc>
  <rcc rId="4666" sId="1" numFmtId="4">
    <oc r="G308">
      <v>100000</v>
    </oc>
    <nc r="G308"/>
  </rcc>
  <rcc rId="4667" sId="1" numFmtId="4">
    <oc r="H308">
      <v>100000</v>
    </oc>
    <nc r="H308"/>
  </rcc>
  <rcc rId="4668" sId="1">
    <oc r="G314">
      <f>120+30</f>
    </oc>
    <nc r="G314"/>
  </rcc>
  <rcc rId="4669" sId="1">
    <oc r="H314">
      <f>120+30</f>
    </oc>
    <nc r="H314"/>
  </rcc>
  <rcc rId="4670" sId="1" numFmtId="4">
    <oc r="G322">
      <v>11764</v>
    </oc>
    <nc r="G322"/>
  </rcc>
  <rcc rId="4671" sId="1" numFmtId="4">
    <oc r="H322">
      <v>11764</v>
    </oc>
    <nc r="H322"/>
  </rcc>
  <rcc rId="4672" sId="1" numFmtId="4">
    <oc r="G324">
      <v>13346.3</v>
    </oc>
    <nc r="G324"/>
  </rcc>
  <rcc rId="4673" sId="1" numFmtId="4">
    <oc r="H324">
      <v>13346.3</v>
    </oc>
    <nc r="H324"/>
  </rcc>
  <rcc rId="4674" sId="1" numFmtId="4">
    <oc r="G331">
      <v>10012.299999999999</v>
    </oc>
    <nc r="G331"/>
  </rcc>
  <rcc rId="4675" sId="1" numFmtId="4">
    <oc r="H331">
      <v>10012.299999999999</v>
    </oc>
    <nc r="H331"/>
  </rcc>
  <rcc rId="4676" sId="1" numFmtId="4">
    <oc r="G333">
      <v>8270.1</v>
    </oc>
    <nc r="G333"/>
  </rcc>
  <rcc rId="4677" sId="1" numFmtId="4">
    <oc r="H333">
      <v>8270.1</v>
    </oc>
    <nc r="H333"/>
  </rcc>
  <rcc rId="4678" sId="1" numFmtId="4">
    <oc r="G337">
      <v>17739.2</v>
    </oc>
    <nc r="G337"/>
  </rcc>
  <rcc rId="4679" sId="1" numFmtId="4">
    <oc r="H337">
      <v>17739.2</v>
    </oc>
    <nc r="H337"/>
  </rcc>
  <rcc rId="4680" sId="1" numFmtId="4">
    <oc r="G339">
      <v>12942.4</v>
    </oc>
    <nc r="G339"/>
  </rcc>
  <rcc rId="4681" sId="1" numFmtId="4">
    <oc r="H339">
      <v>12942.4</v>
    </oc>
    <nc r="H339"/>
  </rcc>
  <rcc rId="4682" sId="1" numFmtId="4">
    <oc r="G343">
      <v>150</v>
    </oc>
    <nc r="G343"/>
  </rcc>
  <rcc rId="4683" sId="1" numFmtId="4">
    <oc r="H343">
      <v>150</v>
    </oc>
    <nc r="H343"/>
  </rcc>
  <rcc rId="4684" sId="1" numFmtId="4">
    <oc r="G346">
      <v>7707.5</v>
    </oc>
    <nc r="G346"/>
  </rcc>
  <rcc rId="4685" sId="1" numFmtId="4">
    <oc r="H346">
      <v>7707.5</v>
    </oc>
    <nc r="H346"/>
  </rcc>
  <rcc rId="4686" sId="1" numFmtId="4">
    <oc r="G352">
      <v>695</v>
    </oc>
    <nc r="G352"/>
  </rcc>
  <rcc rId="4687" sId="1" numFmtId="4">
    <oc r="H352">
      <v>695</v>
    </oc>
    <nc r="H352"/>
  </rcc>
  <rcc rId="4688" sId="1" numFmtId="4">
    <oc r="G353">
      <v>210</v>
    </oc>
    <nc r="G353"/>
  </rcc>
  <rcc rId="4689" sId="1" numFmtId="4">
    <oc r="H353">
      <v>210</v>
    </oc>
    <nc r="H353"/>
  </rcc>
  <rcc rId="4690" sId="1" numFmtId="4">
    <oc r="G355">
      <v>7838.2</v>
    </oc>
    <nc r="G355"/>
  </rcc>
  <rcc rId="4691" sId="1" numFmtId="4">
    <oc r="H355">
      <v>7838.2</v>
    </oc>
    <nc r="H355"/>
  </rcc>
  <rcc rId="4692" sId="1" numFmtId="4">
    <oc r="G356">
      <v>2367.1999999999998</v>
    </oc>
    <nc r="G356"/>
  </rcc>
  <rcc rId="4693" sId="1" numFmtId="4">
    <oc r="H356">
      <v>2367.1999999999998</v>
    </oc>
    <nc r="H356"/>
  </rcc>
  <rcc rId="4694" sId="1" numFmtId="4">
    <oc r="G357">
      <v>6.5</v>
    </oc>
    <nc r="G357"/>
  </rcc>
  <rcc rId="4695" sId="1" numFmtId="4">
    <oc r="H357">
      <v>6.5</v>
    </oc>
    <nc r="H357"/>
  </rcc>
  <rcc rId="4696" sId="1" numFmtId="4">
    <oc r="G361">
      <v>151</v>
    </oc>
    <nc r="G361"/>
  </rcc>
  <rcc rId="4697" sId="1" numFmtId="4">
    <oc r="H361">
      <v>151</v>
    </oc>
    <nc r="H361"/>
  </rcc>
  <rcc rId="4698" sId="1" numFmtId="4">
    <oc r="G366">
      <v>60</v>
    </oc>
    <nc r="G366"/>
  </rcc>
  <rcc rId="4699" sId="1" numFmtId="4">
    <oc r="H366">
      <v>60</v>
    </oc>
    <nc r="H366"/>
  </rcc>
  <rcc rId="4700" sId="1" numFmtId="4">
    <oc r="G367">
      <v>309.10000000000002</v>
    </oc>
    <nc r="G367"/>
  </rcc>
  <rcc rId="4701" sId="1" numFmtId="4">
    <oc r="H367">
      <v>309.10000000000002</v>
    </oc>
    <nc r="H367"/>
  </rcc>
  <rcc rId="4702" sId="1" numFmtId="4">
    <oc r="G375">
      <v>100</v>
    </oc>
    <nc r="G375"/>
  </rcc>
  <rcc rId="4703" sId="1" numFmtId="4">
    <oc r="H375">
      <v>100</v>
    </oc>
    <nc r="H375"/>
  </rcc>
  <rcc rId="4704" sId="1" numFmtId="4">
    <oc r="G379">
      <v>2207.1999999999998</v>
    </oc>
    <nc r="G379"/>
  </rcc>
  <rcc rId="4705" sId="1" numFmtId="4">
    <oc r="H379">
      <v>2207.1999999999998</v>
    </oc>
    <nc r="H379"/>
  </rcc>
  <rcc rId="4706" sId="1" numFmtId="4">
    <oc r="G384">
      <v>233.1</v>
    </oc>
    <nc r="G384"/>
  </rcc>
  <rcc rId="4707" sId="1" numFmtId="4">
    <oc r="H384">
      <v>233.1</v>
    </oc>
    <nc r="H384"/>
  </rcc>
  <rcc rId="4708" sId="1" numFmtId="4">
    <oc r="G391">
      <v>150</v>
    </oc>
    <nc r="G391"/>
  </rcc>
  <rcc rId="4709" sId="1" numFmtId="4">
    <oc r="H391">
      <v>150</v>
    </oc>
    <nc r="H391"/>
  </rcc>
  <rcc rId="4710" sId="1" numFmtId="4">
    <oc r="G395">
      <v>2405</v>
    </oc>
    <nc r="G395"/>
  </rcc>
  <rcc rId="4711" sId="1" numFmtId="4">
    <oc r="H395">
      <v>2405</v>
    </oc>
    <nc r="H395"/>
  </rcc>
  <rcc rId="4712" sId="1" numFmtId="4">
    <oc r="G396">
      <v>726.31</v>
    </oc>
    <nc r="G396"/>
  </rcc>
  <rcc rId="4713" sId="1" numFmtId="4">
    <oc r="H396">
      <v>726.31</v>
    </oc>
    <nc r="H396"/>
  </rcc>
  <rcc rId="4714" sId="1" numFmtId="4">
    <oc r="G402">
      <v>24924.400000000001</v>
    </oc>
    <nc r="G402"/>
  </rcc>
  <rcc rId="4715" sId="1" numFmtId="4">
    <oc r="H402">
      <v>24924.400000000001</v>
    </oc>
    <nc r="H402"/>
  </rcc>
  <rcc rId="4716" sId="1" numFmtId="4">
    <oc r="G404">
      <v>13287.4</v>
    </oc>
    <nc r="G404"/>
  </rcc>
  <rcc rId="4717" sId="1" numFmtId="4">
    <oc r="H404">
      <v>13287.4</v>
    </oc>
    <nc r="H404"/>
  </rcc>
  <rcc rId="4718" sId="1" numFmtId="4">
    <oc r="G410">
      <v>677.9</v>
    </oc>
    <nc r="G410"/>
  </rcc>
  <rcc rId="4719" sId="1" numFmtId="4">
    <oc r="H410">
      <v>677.9</v>
    </oc>
    <nc r="H410"/>
  </rcc>
  <rcc rId="4720" sId="1" numFmtId="4">
    <oc r="G411">
      <v>204.8</v>
    </oc>
    <nc r="G411"/>
  </rcc>
  <rcc rId="4721" sId="1" numFmtId="4">
    <oc r="H411">
      <v>204.8</v>
    </oc>
    <nc r="H411"/>
  </rcc>
  <rcc rId="4722" sId="1" numFmtId="4">
    <oc r="G413">
      <v>2678.7</v>
    </oc>
    <nc r="G413"/>
  </rcc>
  <rcc rId="4723" sId="1" numFmtId="4">
    <oc r="H413">
      <v>2678.7</v>
    </oc>
    <nc r="H413"/>
  </rcc>
  <rcc rId="4724" sId="1" numFmtId="4">
    <oc r="G414">
      <v>809</v>
    </oc>
    <nc r="G414"/>
  </rcc>
  <rcc rId="4725" sId="1" numFmtId="4">
    <oc r="H414">
      <v>809</v>
    </oc>
    <nc r="H414"/>
  </rcc>
  <rcc rId="4726" sId="1" numFmtId="4">
    <oc r="G415">
      <v>4</v>
    </oc>
    <nc r="G415"/>
  </rcc>
  <rcc rId="4727" sId="1" numFmtId="4">
    <oc r="H415">
      <v>4</v>
    </oc>
    <nc r="H415"/>
  </rcc>
  <rcc rId="4728" sId="1" numFmtId="4">
    <oc r="G422">
      <v>100</v>
    </oc>
    <nc r="G422"/>
  </rcc>
  <rcc rId="4729" sId="1" numFmtId="4">
    <oc r="H422">
      <v>100</v>
    </oc>
    <nc r="H422"/>
  </rcc>
  <rcc rId="4730" sId="1" numFmtId="4">
    <oc r="G436">
      <v>2607.9</v>
    </oc>
    <nc r="G436"/>
  </rcc>
  <rcc rId="4731" sId="1" numFmtId="4">
    <oc r="H436">
      <v>2607.9</v>
    </oc>
    <nc r="H436"/>
  </rcc>
  <rcc rId="4732" sId="1" numFmtId="4">
    <oc r="G437">
      <v>787.6</v>
    </oc>
    <nc r="G437"/>
  </rcc>
  <rcc rId="4733" sId="1" numFmtId="4">
    <oc r="H437">
      <v>787.6</v>
    </oc>
    <nc r="H437"/>
  </rcc>
  <rcc rId="4734" sId="1" numFmtId="4">
    <oc r="G442">
      <v>400</v>
    </oc>
    <nc r="G442"/>
  </rcc>
  <rcc rId="4735" sId="1" numFmtId="4">
    <oc r="H442">
      <v>400</v>
    </oc>
    <nc r="H442"/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36" sId="1" numFmtId="4">
    <oc r="G425">
      <v>311</v>
    </oc>
    <nc r="G425">
      <v>136</v>
    </nc>
  </rcc>
  <rcc rId="4737" sId="1" numFmtId="4">
    <oc r="H425">
      <v>0</v>
    </oc>
    <nc r="H425">
      <v>136</v>
    </nc>
  </rcc>
  <rcc rId="4738" sId="1">
    <nc r="I425">
      <v>136</v>
    </nc>
  </rcc>
  <rcc rId="4739" sId="1">
    <nc r="J425">
      <v>136</v>
    </nc>
  </rcc>
  <rcc rId="4740" sId="1" numFmtId="4">
    <oc r="G427">
      <v>1.3</v>
    </oc>
    <nc r="G427">
      <v>1.383</v>
    </nc>
  </rcc>
  <rcc rId="4741" sId="1" numFmtId="4">
    <oc r="G428">
      <v>0.4</v>
    </oc>
    <nc r="G428">
      <v>0.41699999999999998</v>
    </nc>
  </rcc>
  <rcc rId="4742" sId="1" numFmtId="4">
    <oc r="H427">
      <v>0</v>
    </oc>
    <nc r="H427">
      <v>1.383</v>
    </nc>
  </rcc>
  <rcc rId="4743" sId="1" numFmtId="4">
    <oc r="H428">
      <v>0</v>
    </oc>
    <nc r="H428">
      <v>0.41699999999999998</v>
    </nc>
  </rcc>
  <rfmt sheetId="1" sqref="G426:H426">
    <dxf>
      <fill>
        <patternFill>
          <bgColor rgb="FF92D050"/>
        </patternFill>
      </fill>
    </dxf>
  </rfmt>
  <rcc rId="4744" sId="1">
    <nc r="I426">
      <v>1.8</v>
    </nc>
  </rcc>
  <rcc rId="4745" sId="1">
    <nc r="J426">
      <v>1.8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6" sId="1" numFmtId="4">
    <oc r="G430">
      <v>149.6</v>
    </oc>
    <nc r="G430">
      <v>151.5</v>
    </nc>
  </rcc>
  <rcc rId="4747" sId="1" numFmtId="4">
    <oc r="H430">
      <v>149.6</v>
    </oc>
    <nc r="H430">
      <v>151.5</v>
    </nc>
  </rcc>
  <rcc rId="4748" sId="1">
    <nc r="I430">
      <v>151.5</v>
    </nc>
  </rcc>
  <rcc rId="4749" sId="1">
    <nc r="J430">
      <v>151.5</v>
    </nc>
  </rcc>
  <rfmt sheetId="1" sqref="G429:H429">
    <dxf>
      <fill>
        <patternFill>
          <bgColor rgb="FF92D050"/>
        </patternFill>
      </fill>
    </dxf>
  </rfmt>
  <rcc rId="4750" sId="1" numFmtId="4">
    <oc r="G432">
      <v>17.2</v>
    </oc>
    <nc r="G432">
      <v>17.399999999999999</v>
    </nc>
  </rcc>
  <rcc rId="4751" sId="1" numFmtId="4">
    <oc r="H432">
      <v>17.2</v>
    </oc>
    <nc r="H432">
      <v>17.399999999999999</v>
    </nc>
  </rcc>
  <rcc rId="4752" sId="1" numFmtId="4">
    <oc r="G433">
      <v>5.2</v>
    </oc>
    <nc r="G433">
      <v>5.3</v>
    </nc>
  </rcc>
  <rcc rId="4753" sId="1" numFmtId="4">
    <oc r="H433">
      <v>5.2</v>
    </oc>
    <nc r="H433">
      <v>5.3</v>
    </nc>
  </rcc>
  <rcc rId="4754" sId="1">
    <nc r="I431">
      <v>22.7</v>
    </nc>
  </rcc>
  <rcc rId="4755" sId="1">
    <nc r="J431">
      <v>22.7</v>
    </nc>
  </rcc>
  <rfmt sheetId="1" sqref="G431:H43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6" sId="1" numFmtId="4">
    <nc r="G284">
      <v>134.1</v>
    </nc>
  </rcc>
  <rcc rId="4757" sId="1" numFmtId="4">
    <nc r="H284">
      <v>139.5</v>
    </nc>
  </rcc>
  <rcc rId="4758" sId="1">
    <nc r="I284">
      <v>134.1</v>
    </nc>
  </rcc>
  <rcc rId="4759" sId="1">
    <nc r="J284">
      <v>139.5</v>
    </nc>
  </rcc>
  <rfmt sheetId="1" sqref="G283:H283">
    <dxf>
      <fill>
        <patternFill>
          <bgColor rgb="FF92D05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0" sId="1" numFmtId="4">
    <nc r="G131">
      <v>4.5</v>
    </nc>
  </rcc>
  <rcc rId="4761" sId="1" numFmtId="4">
    <nc r="H131">
      <v>4.5</v>
    </nc>
  </rcc>
  <rcc rId="4762" sId="1">
    <nc r="I131">
      <v>4.5</v>
    </nc>
  </rcc>
  <rcc rId="4763" sId="1">
    <nc r="J131">
      <v>4.5</v>
    </nc>
  </rcc>
  <rfmt sheetId="1" sqref="G130:H130">
    <dxf>
      <fill>
        <patternFill>
          <bgColor rgb="FF92D050"/>
        </patternFill>
      </fill>
    </dxf>
  </rfmt>
  <rcc rId="4764" sId="1" numFmtId="4">
    <nc r="G136">
      <v>532</v>
    </nc>
  </rcc>
  <rcc rId="4765" sId="1" numFmtId="4">
    <nc r="H136">
      <v>532</v>
    </nc>
  </rcc>
  <rcc rId="4766" sId="1">
    <nc r="I136">
      <v>532</v>
    </nc>
  </rcc>
  <rcc rId="4767" sId="1">
    <nc r="J136">
      <v>532</v>
    </nc>
  </rcc>
  <rfmt sheetId="1" sqref="G135:H135">
    <dxf>
      <fill>
        <patternFill>
          <bgColor rgb="FF92D050"/>
        </patternFill>
      </fill>
    </dxf>
  </rfmt>
  <rcc rId="4768" sId="1" numFmtId="4">
    <nc r="G299">
      <v>9321</v>
    </nc>
  </rcc>
  <rcc rId="4769" sId="1" numFmtId="4">
    <nc r="H299">
      <v>9321</v>
    </nc>
  </rcc>
  <rcc rId="4770" sId="1">
    <nc r="I299">
      <v>9321</v>
    </nc>
  </rcc>
  <rcc rId="4771" sId="1">
    <nc r="J299">
      <v>9321</v>
    </nc>
  </rcc>
  <rfmt sheetId="1" sqref="G298:H298">
    <dxf>
      <fill>
        <patternFill>
          <bgColor rgb="FF92D050"/>
        </patternFill>
      </fill>
    </dxf>
  </rfmt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2" sId="1" numFmtId="4">
    <nc r="G206">
      <v>8319</v>
    </nc>
  </rcc>
  <rcc rId="4773" sId="1" numFmtId="4">
    <nc r="H206">
      <v>8319</v>
    </nc>
  </rcc>
  <rcc rId="4774" sId="1">
    <nc r="I206">
      <v>8319</v>
    </nc>
  </rcc>
  <rcc rId="4775" sId="1">
    <nc r="J206">
      <v>8319</v>
    </nc>
  </rcc>
  <rfmt sheetId="1" sqref="G205:H205">
    <dxf>
      <fill>
        <patternFill>
          <bgColor rgb="FF92D05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6" sId="1">
    <nc r="I444">
      <f>SUM(I15:I443)</f>
    </nc>
  </rcc>
  <rcc rId="4777" sId="1">
    <nc r="J444">
      <f>SUM(J15:J443)</f>
    </nc>
  </rcc>
  <rcc rId="4778" sId="1" numFmtId="34">
    <oc r="G443">
      <v>9667.11</v>
    </oc>
    <nc r="G443"/>
  </rcc>
  <rcc rId="4779" sId="1" numFmtId="34">
    <oc r="H443">
      <v>19463.325000000001</v>
    </oc>
    <nc r="H443"/>
  </rcc>
  <rcc rId="4780" sId="1">
    <nc r="J238">
      <v>105</v>
    </nc>
  </rcc>
  <rcc rId="4781" sId="1">
    <oc r="K238">
      <v>105</v>
    </oc>
    <nc r="K238"/>
  </rcc>
  <rfmt sheetId="1" sqref="I444:J444">
    <dxf>
      <numFmt numFmtId="4" formatCode="#,##0.00"/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42">
    <dxf>
      <fill>
        <patternFill>
          <bgColor rgb="FF92D050"/>
        </patternFill>
      </fill>
    </dxf>
  </rfmt>
  <rcc rId="4782" sId="1">
    <nc r="J43">
      <v>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83" sId="1" odxf="1" dxf="1">
    <oc r="A3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307" t="inlineStr">
      <is>
        <t>На дорожную деятельность в отношении автомобильных дорог общего пользования местного значения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fmt sheetId="1" sqref="B307" start="0" length="0">
    <dxf>
      <fill>
        <patternFill patternType="solid">
          <bgColor theme="0"/>
        </patternFill>
      </fill>
    </dxf>
  </rfmt>
  <rfmt sheetId="1" sqref="C307" start="0" length="0">
    <dxf>
      <fill>
        <patternFill patternType="solid">
          <bgColor theme="0"/>
        </patternFill>
      </fill>
    </dxf>
  </rfmt>
  <rfmt sheetId="1" sqref="D307" start="0" length="0">
    <dxf>
      <fill>
        <patternFill patternType="solid">
          <bgColor theme="0"/>
        </patternFill>
      </fill>
    </dxf>
  </rfmt>
  <rcc rId="4784" sId="1" odxf="1" dxf="1">
    <oc r="E307" t="inlineStr">
      <is>
        <t>043R1 722Д0</t>
      </is>
    </oc>
    <nc r="E307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oc r="G307">
      <f>G308</f>
    </oc>
    <nc r="G307">
      <f>G308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86" sId="1">
    <oc r="A308" t="inlineStr">
      <is>
        <t>Прочие закупки товаров, работ и услуг для государственных (муниципальных) нужд</t>
      </is>
    </oc>
    <nc r="A308" t="inlineStr">
      <is>
        <t>Иные межбюджетные трансферты</t>
      </is>
    </nc>
  </rcc>
  <rfmt sheetId="1" sqref="B308" start="0" length="0">
    <dxf>
      <fill>
        <patternFill patternType="solid">
          <bgColor theme="0"/>
        </patternFill>
      </fill>
    </dxf>
  </rfmt>
  <rfmt sheetId="1" sqref="C308" start="0" length="0">
    <dxf>
      <fill>
        <patternFill patternType="solid">
          <bgColor theme="0"/>
        </patternFill>
      </fill>
    </dxf>
  </rfmt>
  <rfmt sheetId="1" sqref="D308" start="0" length="0">
    <dxf>
      <fill>
        <patternFill patternType="solid">
          <bgColor theme="0"/>
        </patternFill>
      </fill>
    </dxf>
  </rfmt>
  <rcc rId="4787" sId="1" odxf="1" dxf="1">
    <oc r="E308" t="inlineStr">
      <is>
        <t>043R1 722Д0</t>
      </is>
    </oc>
    <nc r="E308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8" sId="1">
    <oc r="F308" t="inlineStr">
      <is>
        <t>244</t>
      </is>
    </oc>
    <nc r="F308" t="inlineStr">
      <is>
        <t>540</t>
      </is>
    </nc>
  </rcc>
  <rcc rId="4789" sId="1" odxf="1" dxf="1">
    <oc r="H307">
      <f>H308</f>
    </oc>
    <nc r="H307">
      <f>H308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90" sId="1">
    <oc r="H304">
      <f>H305+H307</f>
    </oc>
    <nc r="H304">
      <f>H305+H307</f>
    </nc>
  </rcc>
  <rcc rId="4791" sId="1" numFmtId="4">
    <nc r="G308">
      <v>1427.8</v>
    </nc>
  </rcc>
  <rcc rId="4792" sId="1" numFmtId="4">
    <nc r="H308">
      <v>1427.8</v>
    </nc>
  </rcc>
  <rcc rId="4793" sId="1">
    <nc r="I308">
      <v>1427.8</v>
    </nc>
  </rcc>
  <rcc rId="4794" sId="1">
    <nc r="J308">
      <v>1427.8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18" start="0" length="0">
    <dxf>
      <fill>
        <patternFill patternType="none">
          <bgColor indexed="65"/>
        </patternFill>
      </fill>
    </dxf>
  </rfmt>
  <rfmt sheetId="1" sqref="C118" start="0" length="0">
    <dxf>
      <fill>
        <patternFill>
          <bgColor theme="0"/>
        </patternFill>
      </fill>
    </dxf>
  </rfmt>
  <rfmt sheetId="1" sqref="D118" start="0" length="0">
    <dxf>
      <fill>
        <patternFill>
          <bgColor theme="0"/>
        </patternFill>
      </fill>
    </dxf>
  </rfmt>
  <rcc rId="4795" sId="1" odxf="1" dxf="1">
    <oc r="E118" t="inlineStr">
      <is>
        <t>04304 S21Д0</t>
      </is>
    </oc>
    <nc r="E118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796" sId="1">
    <oc r="G118">
      <f>SUM(G119:G119)</f>
    </oc>
    <nc r="G118">
      <f>G119</f>
    </nc>
  </rcc>
  <rfmt sheetId="1" sqref="A119" start="0" length="0">
    <dxf>
      <font>
        <color indexed="8"/>
        <name val="Times New Roman"/>
        <family val="1"/>
      </font>
      <fill>
        <patternFill patternType="solid"/>
      </fill>
      <border outline="0">
        <left/>
      </border>
    </dxf>
  </rfmt>
  <rfmt sheetId="1" sqref="B119" start="0" length="0">
    <dxf>
      <fill>
        <patternFill patternType="none">
          <bgColor indexed="65"/>
        </patternFill>
      </fill>
    </dxf>
  </rfmt>
  <rfmt sheetId="1" sqref="C119" start="0" length="0">
    <dxf>
      <fill>
        <patternFill>
          <bgColor theme="0"/>
        </patternFill>
      </fill>
    </dxf>
  </rfmt>
  <rfmt sheetId="1" sqref="D119" start="0" length="0">
    <dxf>
      <fill>
        <patternFill>
          <bgColor theme="0"/>
        </patternFill>
      </fill>
    </dxf>
  </rfmt>
  <rcc rId="4797" sId="1" odxf="1" dxf="1">
    <oc r="E119" t="inlineStr">
      <is>
        <t>04304 S21Д0</t>
      </is>
    </oc>
    <nc r="E119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F119" start="0" length="0">
    <dxf>
      <fill>
        <patternFill patternType="solid">
          <bgColor theme="0"/>
        </patternFill>
      </fill>
    </dxf>
  </rfmt>
  <rcc rId="4798" sId="1" numFmtId="4">
    <nc r="G119">
      <v>100000</v>
    </nc>
  </rcc>
  <rcc rId="4799" sId="1" numFmtId="4">
    <nc r="H119">
      <v>100000</v>
    </nc>
  </rcc>
  <rfmt sheetId="1" sqref="G118:H118">
    <dxf>
      <fill>
        <patternFill>
          <bgColor rgb="FF92D050"/>
        </patternFill>
      </fill>
    </dxf>
  </rfmt>
  <rcc rId="4800" sId="1">
    <nc r="I119">
      <v>100000</v>
    </nc>
  </rcc>
  <rcc rId="4801" sId="1">
    <nc r="J119">
      <v>100000</v>
    </nc>
  </rcc>
  <rfmt sheetId="1" sqref="A118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dxf>
  </rfmt>
  <rfmt sheetId="1" xfDxf="1" sqref="A118" start="0" length="0">
    <dxf>
      <font>
        <sz val="12"/>
        <color rgb="FF000000"/>
        <name val="Times New Roman"/>
        <family val="1"/>
      </font>
    </dxf>
  </rfmt>
  <rcc rId="4802" sId="1" odxf="1" dxf="1">
    <oc r="A118" t="inlineStr">
      <is>
        <t>На дорожную деятельность в отношении автомобильных дорог общего пользования местного значения</t>
      </is>
    </oc>
    <nc r="A11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18" start="0" length="2147483647">
    <dxf>
      <font>
        <i/>
      </font>
    </dxf>
  </rfmt>
  <rrc rId="4803" sId="1" ref="A443:XFD482" action="insertRow"/>
  <rcc rId="4804" sId="1" odxf="1" dxf="1">
    <nc r="A443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cc rId="4805" sId="1" odxf="1" dxf="1">
    <nc r="B44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806" sId="1" odxf="1" dxf="1">
    <nc r="G443">
      <f>G444+G454+G462+G478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H44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07" sId="1" odxf="1" dxf="1">
    <nc r="A444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808" sId="1" odxf="1" dxf="1">
    <nc r="B44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09" sId="1" odxf="1" dxf="1">
    <nc r="C444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10" sId="1" odxf="1" dxf="1">
    <nc r="G444">
      <f>G445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4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1" sId="1" odxf="1" dxf="1">
    <nc r="A445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12" sId="1" odxf="1" dxf="1">
    <nc r="B44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13" sId="1" odxf="1" dxf="1">
    <nc r="C44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45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815" sId="1" odxf="1" dxf="1">
    <nc r="G445">
      <f>G446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4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6" sId="1" odxf="1" dxf="1">
    <nc r="A446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4817" sId="1" odxf="1" dxf="1">
    <nc r="B44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8" sId="1" odxf="1" dxf="1">
    <nc r="C44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4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6" start="0" length="0">
    <dxf>
      <font>
        <b/>
        <name val="Times New Roman"/>
        <family val="1"/>
      </font>
    </dxf>
  </rfmt>
  <rcc rId="4821" sId="1" odxf="1" dxf="1">
    <nc r="G446">
      <f>G447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2" sId="1" odxf="1" dxf="1">
    <nc r="A447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4823" sId="1" odxf="1" dxf="1">
    <nc r="B4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4" sId="1" odxf="1" dxf="1">
    <nc r="C4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5" sId="1" odxf="1" dxf="1">
    <nc r="D4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6" sId="1" odxf="1" dxf="1">
    <nc r="E447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7" start="0" length="0">
    <dxf>
      <font>
        <b/>
        <name val="Times New Roman"/>
        <family val="1"/>
      </font>
    </dxf>
  </rfmt>
  <rcc rId="4827" sId="1" odxf="1" dxf="1">
    <nc r="G447">
      <f>G448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8" sId="1" odxf="1" dxf="1">
    <nc r="A448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29" sId="1" odxf="1" dxf="1">
    <nc r="B4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0" sId="1" odxf="1" dxf="1">
    <nc r="C4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 odxf="1" dxf="1">
    <nc r="D4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2" sId="1" odxf="1" dxf="1">
    <nc r="E448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48" start="0" length="0">
    <dxf>
      <font>
        <i/>
        <name val="Times New Roman"/>
        <family val="1"/>
      </font>
    </dxf>
  </rfmt>
  <rcc rId="4833" sId="1" odxf="1" dxf="1">
    <nc r="G448">
      <f>SUM(G449:G453)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4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34" sId="1" odxf="1" dxf="1">
    <nc r="A4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5" sId="1">
    <nc r="B449" t="inlineStr">
      <is>
        <t>977</t>
      </is>
    </nc>
  </rcc>
  <rcc rId="4836" sId="1">
    <nc r="C449" t="inlineStr">
      <is>
        <t>01</t>
      </is>
    </nc>
  </rcc>
  <rcc rId="4837" sId="1">
    <nc r="D449" t="inlineStr">
      <is>
        <t>13</t>
      </is>
    </nc>
  </rcc>
  <rcc rId="4838" sId="1">
    <nc r="E449" t="inlineStr">
      <is>
        <t>99900 83220</t>
      </is>
    </nc>
  </rcc>
  <rcc rId="4839" sId="1">
    <nc r="F449" t="inlineStr">
      <is>
        <t>111</t>
      </is>
    </nc>
  </rcc>
  <rfmt sheetId="1" sqref="H44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0" sId="1" odxf="1" dxf="1">
    <nc r="A4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41" sId="1">
    <nc r="B450" t="inlineStr">
      <is>
        <t>977</t>
      </is>
    </nc>
  </rcc>
  <rcc rId="4842" sId="1">
    <nc r="C450" t="inlineStr">
      <is>
        <t>01</t>
      </is>
    </nc>
  </rcc>
  <rcc rId="4843" sId="1">
    <nc r="D450" t="inlineStr">
      <is>
        <t>13</t>
      </is>
    </nc>
  </rcc>
  <rcc rId="4844" sId="1">
    <nc r="E450" t="inlineStr">
      <is>
        <t>99900 83220</t>
      </is>
    </nc>
  </rcc>
  <rcc rId="4845" sId="1">
    <nc r="F450" t="inlineStr">
      <is>
        <t>119</t>
      </is>
    </nc>
  </rcc>
  <rfmt sheetId="1" sqref="H45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6" sId="1" odxf="1" dxf="1">
    <nc r="A451" t="inlineStr">
      <is>
        <t>Фонд оплаты труда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47" sId="1">
    <nc r="B451" t="inlineStr">
      <is>
        <t>977</t>
      </is>
    </nc>
  </rcc>
  <rcc rId="4848" sId="1">
    <nc r="C451" t="inlineStr">
      <is>
        <t>01</t>
      </is>
    </nc>
  </rcc>
  <rcc rId="4849" sId="1">
    <nc r="D451" t="inlineStr">
      <is>
        <t>13</t>
      </is>
    </nc>
  </rcc>
  <rcc rId="4850" sId="1">
    <nc r="E451" t="inlineStr">
      <is>
        <t>99900 83220</t>
      </is>
    </nc>
  </rcc>
  <rcc rId="4851" sId="1">
    <nc r="F451" t="inlineStr">
      <is>
        <t>121</t>
      </is>
    </nc>
  </rcc>
  <rfmt sheetId="1" sqref="G451" start="0" length="0">
    <dxf>
      <fill>
        <patternFill patternType="solid">
          <bgColor theme="0"/>
        </patternFill>
      </fill>
    </dxf>
  </rfmt>
  <rfmt sheetId="1" sqref="H45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2" sId="1" odxf="1" dxf="1">
    <nc r="A452" t="inlineStr">
      <is>
        <t>Иные выплаты персоналу, за исключением фонда оплаты труда</t>
      </is>
    </nc>
    <odxf>
      <fill>
        <patternFill patternType="none"/>
      </fill>
    </odxf>
    <ndxf>
      <fill>
        <patternFill patternType="solid"/>
      </fill>
    </ndxf>
  </rcc>
  <rcc rId="4853" sId="1">
    <nc r="B452" t="inlineStr">
      <is>
        <t>977</t>
      </is>
    </nc>
  </rcc>
  <rcc rId="4854" sId="1">
    <nc r="C452" t="inlineStr">
      <is>
        <t>01</t>
      </is>
    </nc>
  </rcc>
  <rcc rId="4855" sId="1">
    <nc r="D452" t="inlineStr">
      <is>
        <t>13</t>
      </is>
    </nc>
  </rcc>
  <rcc rId="4856" sId="1">
    <nc r="E452" t="inlineStr">
      <is>
        <t>99900 83220</t>
      </is>
    </nc>
  </rcc>
  <rcc rId="4857" sId="1">
    <nc r="F452" t="inlineStr">
      <is>
        <t>122</t>
      </is>
    </nc>
  </rcc>
  <rfmt sheetId="1" sqref="G452" start="0" length="0">
    <dxf>
      <fill>
        <patternFill patternType="solid">
          <bgColor theme="0"/>
        </patternFill>
      </fill>
    </dxf>
  </rfmt>
  <rfmt sheetId="1" sqref="H45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8" sId="1" odxf="1" dxf="1">
    <nc r="A4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59" sId="1">
    <nc r="B453" t="inlineStr">
      <is>
        <t>977</t>
      </is>
    </nc>
  </rcc>
  <rcc rId="4860" sId="1">
    <nc r="C453" t="inlineStr">
      <is>
        <t>01</t>
      </is>
    </nc>
  </rcc>
  <rcc rId="4861" sId="1">
    <nc r="D453" t="inlineStr">
      <is>
        <t>13</t>
      </is>
    </nc>
  </rcc>
  <rcc rId="4862" sId="1">
    <nc r="E453" t="inlineStr">
      <is>
        <t>99900 83220</t>
      </is>
    </nc>
  </rcc>
  <rcc rId="4863" sId="1">
    <nc r="F453" t="inlineStr">
      <is>
        <t>129</t>
      </is>
    </nc>
  </rcc>
  <rfmt sheetId="1" sqref="G453" start="0" length="0">
    <dxf>
      <fill>
        <patternFill patternType="solid">
          <bgColor theme="0"/>
        </patternFill>
      </fill>
    </dxf>
  </rfmt>
  <rfmt sheetId="1" sqref="H45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4" sId="1" odxf="1" dxf="1">
    <nc r="A45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4865" sId="1" odxf="1" dxf="1">
    <nc r="B4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66" sId="1" odxf="1" dxf="1">
    <nc r="C45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67" sId="1" odxf="1" dxf="1">
    <nc r="G454">
      <f>G455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5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8" sId="1" odxf="1" dxf="1">
    <nc r="A45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69" sId="1" odxf="1" dxf="1">
    <nc r="B45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70" sId="1" odxf="1" dxf="1">
    <nc r="C45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71" sId="1" odxf="1" dxf="1">
    <nc r="D45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72" sId="1" odxf="1" dxf="1">
    <nc r="G455">
      <f>G456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5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3" sId="1" odxf="1" dxf="1">
    <nc r="A456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874" sId="1" odxf="1" dxf="1">
    <nc r="B45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5" sId="1" odxf="1" dxf="1">
    <nc r="C45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6" sId="1" odxf="1" dxf="1">
    <nc r="D45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7" sId="1" odxf="1" dxf="1">
    <nc r="E45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6" start="0" length="0">
    <dxf>
      <font>
        <b/>
        <name val="Times New Roman"/>
        <family val="1"/>
      </font>
      <numFmt numFmtId="0" formatCode="General"/>
      <alignment horizontal="general" vertical="top"/>
    </dxf>
  </rfmt>
  <rcc rId="4878" sId="1" odxf="1" dxf="1">
    <nc r="G456">
      <f>G457+G460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H45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9" sId="1" odxf="1" dxf="1">
    <nc r="A457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80" sId="1" odxf="1" dxf="1">
    <nc r="B457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1" sId="1" odxf="1" dxf="1">
    <nc r="C4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2" sId="1" odxf="1" dxf="1">
    <nc r="D4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3" sId="1" odxf="1" dxf="1">
    <nc r="E457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7" start="0" length="0">
    <dxf>
      <font>
        <i/>
        <name val="Times New Roman"/>
        <family val="1"/>
      </font>
    </dxf>
  </rfmt>
  <rcc rId="4884" sId="1" odxf="1" dxf="1">
    <nc r="G457">
      <f>SUM(G458:G459)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5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85" sId="1" odxf="1" dxf="1">
    <nc r="A45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86" sId="1">
    <nc r="B458" t="inlineStr">
      <is>
        <t>977</t>
      </is>
    </nc>
  </rcc>
  <rcc rId="4887" sId="1">
    <nc r="C458" t="inlineStr">
      <is>
        <t>04</t>
      </is>
    </nc>
  </rcc>
  <rcc rId="4888" sId="1">
    <nc r="D458" t="inlineStr">
      <is>
        <t>05</t>
      </is>
    </nc>
  </rcc>
  <rcc rId="4889" sId="1">
    <nc r="E458" t="inlineStr">
      <is>
        <t>99900 73200</t>
      </is>
    </nc>
  </rcc>
  <rcc rId="4890" sId="1">
    <nc r="F458" t="inlineStr">
      <is>
        <t>111</t>
      </is>
    </nc>
  </rcc>
  <rcc rId="4891" sId="1" odxf="1" dxf="1" numFmtId="4">
    <nc r="G458">
      <v>17.2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2" sId="1" odxf="1" dxf="1">
    <nc r="A45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93" sId="1">
    <nc r="B459" t="inlineStr">
      <is>
        <t>977</t>
      </is>
    </nc>
  </rcc>
  <rcc rId="4894" sId="1">
    <nc r="C459" t="inlineStr">
      <is>
        <t>04</t>
      </is>
    </nc>
  </rcc>
  <rcc rId="4895" sId="1">
    <nc r="D459" t="inlineStr">
      <is>
        <t>05</t>
      </is>
    </nc>
  </rcc>
  <rcc rId="4896" sId="1">
    <nc r="E459" t="inlineStr">
      <is>
        <t>99900 73200</t>
      </is>
    </nc>
  </rcc>
  <rcc rId="4897" sId="1">
    <nc r="F459" t="inlineStr">
      <is>
        <t>119</t>
      </is>
    </nc>
  </rcc>
  <rcc rId="4898" sId="1" odxf="1" dxf="1" numFmtId="4">
    <nc r="G459">
      <v>5.2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9" sId="1" odxf="1" dxf="1">
    <nc r="A460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4900" sId="1" odxf="1" dxf="1">
    <nc r="B4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1" sId="1" odxf="1" dxf="1">
    <nc r="C4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2" sId="1" odxf="1" dxf="1">
    <nc r="D4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3" sId="1" odxf="1" dxf="1">
    <nc r="E460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0" start="0" length="0">
    <dxf>
      <font>
        <i/>
        <name val="Times New Roman"/>
        <family val="1"/>
      </font>
    </dxf>
  </rfmt>
  <rcc rId="4904" sId="1" odxf="1" dxf="1">
    <nc r="G460">
      <f>G461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6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05" sId="1" odxf="1" dxf="1">
    <nc r="A461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06" sId="1">
    <nc r="B461" t="inlineStr">
      <is>
        <t>977</t>
      </is>
    </nc>
  </rcc>
  <rcc rId="4907" sId="1">
    <nc r="C461" t="inlineStr">
      <is>
        <t>04</t>
      </is>
    </nc>
  </rcc>
  <rcc rId="4908" sId="1">
    <nc r="D461" t="inlineStr">
      <is>
        <t>05</t>
      </is>
    </nc>
  </rcc>
  <rcc rId="4909" sId="1">
    <nc r="E461" t="inlineStr">
      <is>
        <t>99900 73220</t>
      </is>
    </nc>
  </rcc>
  <rcc rId="4910" sId="1">
    <nc r="F461" t="inlineStr">
      <is>
        <t>244</t>
      </is>
    </nc>
  </rcc>
  <rcc rId="4911" sId="1" odxf="1" dxf="1" numFmtId="4">
    <nc r="G461">
      <v>1493.4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6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2" sId="1" odxf="1" dxf="1">
    <nc r="A46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913" sId="1" odxf="1" dxf="1">
    <nc r="B46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914" sId="1" odxf="1" dxf="1">
    <nc r="C46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15" sId="1" odxf="1" dxf="1">
    <nc r="G462">
      <f>G468+G463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6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6" sId="1" odxf="1" dxf="1">
    <nc r="A463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17" sId="1" odxf="1" dxf="1">
    <nc r="B46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8" sId="1" odxf="1" dxf="1">
    <nc r="C46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9" sId="1" odxf="1" dxf="1">
    <nc r="D463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20" sId="1" odxf="1" dxf="1">
    <nc r="G463">
      <f>G466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1" sId="1" odxf="1" dxf="1">
    <nc r="A464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4922" sId="1" odxf="1" dxf="1">
    <nc r="B46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923" sId="1" odxf="1" dxf="1">
    <nc r="C46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4" sId="1" odxf="1" dxf="1">
    <nc r="D464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5" sId="1" odxf="1" dxf="1">
    <nc r="E464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4926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7" sId="1" odxf="1" dxf="1">
    <nc r="A465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4928" sId="1" odxf="1" dxf="1">
    <nc r="B46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29" sId="1" odxf="1" dxf="1">
    <nc r="C4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0" sId="1" odxf="1" dxf="1">
    <nc r="D46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1" sId="1" odxf="1" dxf="1">
    <nc r="E465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4932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33" sId="1" odxf="1" dxf="1">
    <nc r="A46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34" sId="1" odxf="1" dxf="1">
    <nc r="B46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4935" sId="1" odxf="1" dxf="1">
    <nc r="C46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6" sId="1" odxf="1" dxf="1">
    <nc r="D4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7" sId="1" odxf="1" dxf="1">
    <nc r="E466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6" start="0" length="0">
    <dxf>
      <font>
        <i/>
        <name val="Times New Roman"/>
        <family val="1"/>
      </font>
    </dxf>
  </rfmt>
  <rcc rId="4938" sId="1" odxf="1" dxf="1">
    <nc r="G466">
      <f>SUM(G467:G467)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6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4939" sId="1">
    <nc r="A467" t="inlineStr">
      <is>
        <t>Прочие закупки товаров, работ и услуг для государственных (муниципальных) нужд</t>
      </is>
    </nc>
  </rcc>
  <rcc rId="4940" sId="1" odxf="1" dxf="1">
    <nc r="B46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4941" sId="1">
    <nc r="C467" t="inlineStr">
      <is>
        <t>05</t>
      </is>
    </nc>
  </rcc>
  <rcc rId="4942" sId="1">
    <nc r="D467" t="inlineStr">
      <is>
        <t>02</t>
      </is>
    </nc>
  </rcc>
  <rcc rId="4943" sId="1">
    <nc r="E467" t="inlineStr">
      <is>
        <t>17001 82900</t>
      </is>
    </nc>
  </rcc>
  <rcc rId="4944" sId="1">
    <nc r="F467" t="inlineStr">
      <is>
        <t>244</t>
      </is>
    </nc>
  </rcc>
  <rfmt sheetId="1" sqref="H467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4945" sId="1" odxf="1" dxf="1">
    <nc r="A468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46" sId="1" odxf="1" dxf="1">
    <nc r="B4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7" sId="1" odxf="1" dxf="1">
    <nc r="C46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8" sId="1" odxf="1" dxf="1">
    <nc r="D46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49" sId="1" odxf="1" dxf="1">
    <nc r="G468">
      <f>G474+G469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0" sId="1" odxf="1" dxf="1">
    <nc r="A46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ndxf>
  </rcc>
  <rcc rId="4951" sId="1" odxf="1" dxf="1">
    <nc r="B469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52" sId="1" odxf="1" dxf="1">
    <nc r="C46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3" sId="1" odxf="1" dxf="1">
    <nc r="D46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4" sId="1" odxf="1" dxf="1">
    <nc r="E469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9" start="0" length="0">
    <dxf>
      <font>
        <b/>
        <name val="Times New Roman"/>
        <family val="1"/>
      </font>
    </dxf>
  </rfmt>
  <rcc rId="4955" sId="1" odxf="1" dxf="1">
    <nc r="G469">
      <f>G470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6" sId="1" odxf="1" dxf="1">
    <nc r="A470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57" sId="1" odxf="1" dxf="1">
    <nc r="B47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8" sId="1" odxf="1" dxf="1">
    <nc r="C47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9" sId="1" odxf="1" dxf="1">
    <nc r="D4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0" sId="1" odxf="1" dxf="1">
    <nc r="E470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0" start="0" length="0">
    <dxf>
      <font>
        <i/>
        <name val="Times New Roman"/>
        <family val="1"/>
      </font>
      <numFmt numFmtId="0" formatCode="General"/>
      <alignment horizontal="general" vertical="top"/>
    </dxf>
  </rfmt>
  <rcc rId="4961" sId="1" odxf="1" dxf="1">
    <nc r="G470">
      <f>G471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2" sId="1" odxf="1" dxf="1">
    <nc r="A471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63" sId="1" odxf="1" dxf="1">
    <nc r="B4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4" sId="1" odxf="1" dxf="1">
    <nc r="C4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5" sId="1" odxf="1" dxf="1">
    <nc r="D47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6" sId="1" odxf="1" dxf="1">
    <nc r="E471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1" start="0" length="0">
    <dxf>
      <font>
        <i/>
        <name val="Times New Roman"/>
        <family val="1"/>
      </font>
      <numFmt numFmtId="0" formatCode="General"/>
      <alignment horizontal="general" vertical="top"/>
    </dxf>
  </rfmt>
  <rcc rId="4967" sId="1" odxf="1" dxf="1">
    <nc r="G471">
      <f>SUM(G472:G473)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8" sId="1">
    <nc r="A472" t="inlineStr">
      <is>
        <t>Иные межбюджетные трансферты</t>
      </is>
    </nc>
  </rcc>
  <rcc rId="4969" sId="1">
    <nc r="B472" t="inlineStr">
      <is>
        <t>977</t>
      </is>
    </nc>
  </rcc>
  <rcc rId="4970" sId="1">
    <nc r="C472" t="inlineStr">
      <is>
        <t>05</t>
      </is>
    </nc>
  </rcc>
  <rcc rId="4971" sId="1">
    <nc r="D472" t="inlineStr">
      <is>
        <t>03</t>
      </is>
    </nc>
  </rcc>
  <rcc rId="4972" sId="1">
    <nc r="E472" t="inlineStr">
      <is>
        <t>160F2 55550</t>
      </is>
    </nc>
  </rcc>
  <rcc rId="4973" sId="1" odxf="1" dxf="1">
    <nc r="F47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2" start="0" length="0">
    <dxf>
      <fill>
        <patternFill patternType="solid">
          <bgColor theme="0"/>
        </patternFill>
      </fill>
    </dxf>
  </rfmt>
  <rfmt sheetId="1" sqref="H47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74" sId="1" odxf="1" dxf="1">
    <nc r="A47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75" sId="1">
    <nc r="B473" t="inlineStr">
      <is>
        <t>977</t>
      </is>
    </nc>
  </rcc>
  <rcc rId="4976" sId="1">
    <nc r="C473" t="inlineStr">
      <is>
        <t>05</t>
      </is>
    </nc>
  </rcc>
  <rcc rId="4977" sId="1">
    <nc r="D473" t="inlineStr">
      <is>
        <t>03</t>
      </is>
    </nc>
  </rcc>
  <rcc rId="4978" sId="1">
    <nc r="E473" t="inlineStr">
      <is>
        <t>160F2 55550</t>
      </is>
    </nc>
  </rcc>
  <rcc rId="4979" sId="1" odxf="1" dxf="1">
    <nc r="F473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3" start="0" length="0">
    <dxf>
      <fill>
        <patternFill patternType="solid">
          <bgColor theme="0"/>
        </patternFill>
      </fill>
    </dxf>
  </rfmt>
  <rfmt sheetId="1" sqref="H47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0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981" sId="1" odxf="1" dxf="1">
    <nc r="B474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82" sId="1" odxf="1" dxf="1">
    <nc r="C47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3" sId="1" odxf="1" dxf="1">
    <nc r="D4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4" sId="1" odxf="1" dxf="1">
    <nc r="E4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4" start="0" length="0">
    <dxf>
      <font>
        <b/>
        <name val="Times New Roman"/>
        <family val="1"/>
      </font>
    </dxf>
  </rfmt>
  <rcc rId="4985" sId="1" odxf="1" dxf="1">
    <nc r="G474">
      <f>G475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6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87" sId="1" odxf="1" dxf="1">
    <nc r="B4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8" sId="1" odxf="1" dxf="1">
    <nc r="C47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9" sId="1" odxf="1" dxf="1">
    <nc r="D4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90" sId="1" odxf="1" dxf="1">
    <nc r="E475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5" start="0" length="0">
    <dxf>
      <font>
        <i/>
        <name val="Times New Roman"/>
        <family val="1"/>
      </font>
    </dxf>
  </rfmt>
  <rcc rId="4991" sId="1" odxf="1" dxf="1">
    <nc r="G475">
      <f>G476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2" sId="1" odxf="1" dxf="1">
    <nc r="A4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4993" sId="1">
    <nc r="B476" t="inlineStr">
      <is>
        <t>977</t>
      </is>
    </nc>
  </rcc>
  <rcc rId="4994" sId="1">
    <nc r="C476" t="inlineStr">
      <is>
        <t>05</t>
      </is>
    </nc>
  </rcc>
  <rcc rId="4995" sId="1">
    <nc r="D476" t="inlineStr">
      <is>
        <t>03</t>
      </is>
    </nc>
  </rcc>
  <rcc rId="4996" sId="1">
    <nc r="E476" t="inlineStr">
      <is>
        <t>25002 82900</t>
      </is>
    </nc>
  </rcc>
  <rcc rId="4997" sId="1">
    <nc r="G476">
      <f>G477</f>
    </nc>
  </rcc>
  <rfmt sheetId="1" sqref="H47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8" sId="1" odxf="1" dxf="1">
    <nc r="A4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99" sId="1">
    <nc r="B477" t="inlineStr">
      <is>
        <t>977</t>
      </is>
    </nc>
  </rcc>
  <rcc rId="5000" sId="1">
    <nc r="C477" t="inlineStr">
      <is>
        <t>05</t>
      </is>
    </nc>
  </rcc>
  <rcc rId="5001" sId="1">
    <nc r="D477" t="inlineStr">
      <is>
        <t>03</t>
      </is>
    </nc>
  </rcc>
  <rcc rId="5002" sId="1">
    <nc r="E477" t="inlineStr">
      <is>
        <t>25002 82900</t>
      </is>
    </nc>
  </rcc>
  <rcc rId="5003" sId="1">
    <nc r="F477" t="inlineStr">
      <is>
        <t>244</t>
      </is>
    </nc>
  </rcc>
  <rfmt sheetId="1" sqref="H47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4" sId="1" odxf="1" dxf="1">
    <nc r="A478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5005" sId="1" odxf="1" dxf="1">
    <nc r="B47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006" sId="1" odxf="1" dxf="1">
    <nc r="C478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007" sId="1" odxf="1" dxf="1">
    <nc r="G478">
      <f>G479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8" sId="1" odxf="1" dxf="1">
    <nc r="A479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5009" sId="1" odxf="1" dxf="1">
    <nc r="B47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0" sId="1" odxf="1" dxf="1">
    <nc r="C479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1" sId="1" odxf="1" dxf="1">
    <nc r="D47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012" sId="1" odxf="1" dxf="1">
    <nc r="G479">
      <f>G480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fmt sheetId="1" sqref="H47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3" sId="1" odxf="1" dxf="1">
    <nc r="A480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5014" sId="1" odxf="1" dxf="1">
    <nc r="B48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5" sId="1" odxf="1" dxf="1">
    <nc r="C48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6" sId="1" odxf="1" dxf="1">
    <nc r="D48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7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ill>
        <patternFill patternType="solid">
          <bgColor theme="0"/>
        </patternFill>
      </fill>
    </dxf>
  </rfmt>
  <rcc rId="5018" sId="1" odxf="1" dxf="1">
    <nc r="G480">
      <f>G481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48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9" sId="1" odxf="1" dxf="1">
    <nc r="A48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5020" sId="1" odxf="1" dxf="1">
    <nc r="B48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021" sId="1" odxf="1" dxf="1">
    <nc r="C4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2" sId="1" odxf="1" dxf="1">
    <nc r="D4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3" sId="1" odxf="1" dxf="1">
    <nc r="E48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5024" sId="1" odxf="1" dxf="1">
    <nc r="G481">
      <f>G482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rgb="FF92D050"/>
        </patternFill>
      </fill>
      <alignment wrapText="0"/>
    </ndxf>
  </rcc>
  <rfmt sheetId="1" sqref="H48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25" sId="1" odxf="1" dxf="1">
    <nc r="A48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5026" sId="1" odxf="1" dxf="1">
    <nc r="B48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27" sId="1">
    <nc r="C482" t="inlineStr">
      <is>
        <t>10</t>
      </is>
    </nc>
  </rcc>
  <rcc rId="5028" sId="1">
    <nc r="D482" t="inlineStr">
      <is>
        <t>03</t>
      </is>
    </nc>
  </rcc>
  <rcc rId="5029" sId="1">
    <nc r="E482" t="inlineStr">
      <is>
        <t>99900 51560</t>
      </is>
    </nc>
  </rcc>
  <rcc rId="5030" sId="1">
    <nc r="F482" t="inlineStr">
      <is>
        <t>322</t>
      </is>
    </nc>
  </rcc>
  <rfmt sheetId="1" sqref="G482" start="0" length="0">
    <dxf>
      <alignment wrapText="0"/>
    </dxf>
  </rfmt>
  <rfmt sheetId="1" sqref="H48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31" sId="1" odxf="1" dxf="1">
    <nc r="H443">
      <f>H444+H454+H462+H478</f>
    </nc>
    <ndxf>
      <font>
        <b/>
        <name val="Times New Roman"/>
        <family val="1"/>
      </font>
      <numFmt numFmtId="165" formatCode="0.00000"/>
      <fill>
        <patternFill patternType="solid">
          <bgColor indexed="13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2" sId="1" odxf="1" dxf="1">
    <nc r="H444">
      <f>H445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3" sId="1" odxf="1" dxf="1">
    <nc r="H445">
      <f>H446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4" sId="1" odxf="1" dxf="1">
    <nc r="H446">
      <f>H447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5" sId="1" odxf="1" dxf="1">
    <nc r="H447">
      <f>H448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6" sId="1" odxf="1" dxf="1">
    <nc r="H448">
      <f>SUM(H449:H453)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49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0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7" sId="1" odxf="1" dxf="1">
    <nc r="H454">
      <f>H455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8" sId="1" odxf="1" dxf="1">
    <nc r="H455">
      <f>H456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9" sId="1" odxf="1" dxf="1">
    <nc r="H456">
      <f>H457+H460</f>
    </nc>
    <ndxf>
      <font>
        <b/>
        <name val="Times New Roman"/>
        <family val="1"/>
      </font>
      <numFmt numFmtId="165" formatCode="0.00000"/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0" sId="1" odxf="1" dxf="1" numFmtId="4">
    <nc r="H457">
      <f>SUM(H458:H459)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1" sId="1" odxf="1" dxf="1" numFmtId="4">
    <nc r="H458">
      <v>17.2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2" sId="1" odxf="1" dxf="1" numFmtId="4">
    <nc r="H459">
      <v>5.2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3" sId="1" odxf="1" dxf="1">
    <nc r="H460">
      <f>H461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4" sId="1" odxf="1" dxf="1" numFmtId="4">
    <nc r="H461">
      <v>1493.4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5" sId="1" odxf="1" dxf="1">
    <nc r="H462">
      <f>H468+H463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6" sId="1" odxf="1" dxf="1">
    <nc r="H463">
      <f>H466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7" sId="1" odxf="1" dxf="1">
    <nc r="H464">
      <f>H465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8" sId="1" odxf="1" dxf="1">
    <nc r="H465">
      <f>H466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9" sId="1" odxf="1" dxf="1">
    <nc r="H466">
      <f>SUM(H467:H467)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67" start="0" length="0">
    <dxf>
      <font>
        <i val="0"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0" sId="1" odxf="1" dxf="1">
    <nc r="H468">
      <f>H474+H469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1" sId="1" odxf="1" dxf="1">
    <nc r="H469">
      <f>H470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2" sId="1" odxf="1" dxf="1">
    <nc r="H470">
      <f>H471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3" sId="1" odxf="1" dxf="1">
    <nc r="H471">
      <f>SUM(H472:H473)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7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4" sId="1" odxf="1" dxf="1">
    <nc r="H474">
      <f>H475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5" sId="1" odxf="1" dxf="1">
    <nc r="H475">
      <f>H476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6" sId="1" odxf="1" dxf="1">
    <nc r="H476">
      <f>H477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7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7" sId="1" odxf="1" dxf="1">
    <nc r="H478">
      <f>H479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8" sId="1" odxf="1" dxf="1">
    <nc r="H479">
      <f>H480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9" sId="1" odxf="1" dxf="1">
    <nc r="H480">
      <f>H481</f>
    </nc>
    <ndxf>
      <font>
        <b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60" sId="1" odxf="1" dxf="1">
    <nc r="H481">
      <f>H482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82" start="0" length="0">
    <dxf>
      <font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61" sId="1">
    <nc r="I457">
      <v>22.4</v>
    </nc>
  </rcc>
  <rcc rId="5062" sId="1">
    <nc r="J457">
      <v>22.4</v>
    </nc>
  </rcc>
  <rcc rId="5063" sId="1">
    <nc r="I460">
      <v>1493.4</v>
    </nc>
  </rcc>
  <rcc rId="5064" sId="1">
    <nc r="J460">
      <v>1493.4</v>
    </nc>
  </rcc>
  <rcc rId="5065" sId="1">
    <oc r="G484">
      <f>G15+G26+G165+G267+G285+G315+G368+G416+G483</f>
    </oc>
    <nc r="G484">
      <f>G15+G26+G165+G267+G285+G315+G368+G416+G483+G443</f>
    </nc>
  </rcc>
  <rcc rId="5066" sId="1">
    <oc r="H484">
      <f>H15+H26+H165+H267+H285+H315+H368+H416+H483</f>
    </oc>
    <nc r="H484">
      <f>H15+H26+H165+H267+H285+H315+H368+H416+H483+H443</f>
    </nc>
  </rcc>
  <rcc rId="5067" sId="1">
    <oc r="G486">
      <f>1103337.9+227787.8</f>
    </oc>
    <nc r="G486"/>
  </rcc>
  <rcc rId="5068" sId="1">
    <oc r="H486">
      <f>913320.1+230369.9</f>
    </oc>
    <nc r="H486"/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9" sId="1" numFmtId="4">
    <nc r="G21">
      <v>1690.1</v>
    </nc>
  </rcc>
  <rcc rId="5070" sId="1" numFmtId="4">
    <nc r="G22">
      <v>510.4</v>
    </nc>
  </rcc>
  <rcc rId="5071" sId="1" numFmtId="4">
    <nc r="H21">
      <v>1690.1</v>
    </nc>
  </rcc>
  <rcc rId="5072" sId="1" numFmtId="4">
    <nc r="H22">
      <v>510.4</v>
    </nc>
  </rcc>
  <rcc rId="5073" sId="1" numFmtId="4">
    <nc r="G24">
      <v>2321.6</v>
    </nc>
  </rcc>
  <rcc rId="5074" sId="1" numFmtId="4">
    <nc r="G25">
      <v>701.1</v>
    </nc>
  </rcc>
  <rcc rId="5075" sId="1" numFmtId="4">
    <nc r="H24">
      <v>2321.6</v>
    </nc>
  </rcc>
  <rcc rId="5076" sId="1" numFmtId="4">
    <nc r="H25">
      <v>701.1</v>
    </nc>
  </rcc>
  <rcc rId="5077" sId="1" numFmtId="4">
    <nc r="G32">
      <v>2901.9</v>
    </nc>
  </rcc>
  <rcc rId="5078" sId="1" numFmtId="4">
    <nc r="H32">
      <v>2901.9</v>
    </nc>
  </rcc>
  <rcc rId="5079" sId="1" numFmtId="4">
    <nc r="G33">
      <v>876.4</v>
    </nc>
  </rcc>
  <rcc rId="5080" sId="1" numFmtId="4">
    <nc r="H33">
      <v>876.4</v>
    </nc>
  </rcc>
  <rcc rId="5081" sId="1" numFmtId="4">
    <nc r="G38">
      <v>14343</v>
    </nc>
  </rcc>
  <rcc rId="5082" sId="1" numFmtId="4">
    <nc r="H38">
      <v>14343</v>
    </nc>
  </rcc>
  <rcc rId="5083" sId="1" numFmtId="4">
    <nc r="G39">
      <v>4331.6000000000004</v>
    </nc>
  </rcc>
  <rcc rId="5084" sId="1" numFmtId="4">
    <nc r="H39">
      <v>4331.6000000000004</v>
    </nc>
  </rcc>
  <rcc rId="5085" sId="1" numFmtId="4">
    <nc r="G47">
      <v>500</v>
    </nc>
  </rcc>
  <rcc rId="5086" sId="1" numFmtId="4">
    <nc r="H47">
      <v>500</v>
    </nc>
  </rcc>
  <rcc rId="5087" sId="1" numFmtId="4">
    <nc r="G55">
      <v>211</v>
    </nc>
  </rcc>
  <rcc rId="5088" sId="1" numFmtId="4">
    <nc r="H55">
      <v>211</v>
    </nc>
  </rcc>
  <rcc rId="5089" sId="1" numFmtId="4">
    <nc r="G52">
      <v>100</v>
    </nc>
  </rcc>
  <rcc rId="5090" sId="1" numFmtId="4">
    <nc r="H52">
      <v>100</v>
    </nc>
  </rcc>
  <rcc rId="5091" sId="1" numFmtId="4">
    <nc r="G58">
      <v>50</v>
    </nc>
  </rcc>
  <rcc rId="5092" sId="1" numFmtId="4">
    <nc r="H58">
      <v>50</v>
    </nc>
  </rcc>
  <rcc rId="5093" sId="1" numFmtId="4">
    <nc r="G62">
      <v>400</v>
    </nc>
  </rcc>
  <rcc rId="5094" sId="1" numFmtId="4">
    <nc r="H62">
      <v>400</v>
    </nc>
  </rcc>
  <rcc rId="5095" sId="1" numFmtId="4">
    <nc r="G66">
      <v>135</v>
    </nc>
  </rcc>
  <rcc rId="5096" sId="1" numFmtId="4">
    <nc r="H66">
      <v>135</v>
    </nc>
  </rcc>
  <rcc rId="5097" sId="1" numFmtId="4">
    <nc r="G70">
      <v>265</v>
    </nc>
  </rcc>
  <rcc rId="5098" sId="1" numFmtId="4">
    <nc r="H70">
      <v>265</v>
    </nc>
  </rcc>
  <rcc rId="5099" sId="1" numFmtId="4">
    <nc r="G74">
      <v>250</v>
    </nc>
  </rcc>
  <rcc rId="5100" sId="1" numFmtId="4">
    <nc r="H74">
      <v>250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1" sId="1" numFmtId="4">
    <nc r="G105">
      <v>1500</v>
    </nc>
  </rcc>
  <rcc rId="5102" sId="1" numFmtId="4">
    <nc r="H105">
      <v>1500</v>
    </nc>
  </rcc>
  <rrc rId="5103" sId="1" ref="A107:XFD107" action="deleteRow">
    <undo index="65535" exp="ref" v="1" dr="H107" r="H106" sId="1"/>
    <undo index="65535" exp="ref" v="1" dr="G107" r="G106" sId="1"/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4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G108+G111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H108+H111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5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SUM(G108:G109)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SUM(H108:H109)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6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7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8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9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10" sId="1">
    <oc r="G106">
      <f>G113+#REF!+G107</f>
    </oc>
    <nc r="G106">
      <f>G113+G107</f>
    </nc>
  </rcc>
  <rcc rId="5111" sId="1">
    <oc r="H106">
      <f>H113+#REF!+H107</f>
    </oc>
    <nc r="H106">
      <f>H113+H107</f>
    </nc>
  </rcc>
  <rcc rId="5112" sId="1" numFmtId="4">
    <nc r="G117">
      <v>30</v>
    </nc>
  </rcc>
  <rcc rId="5113" sId="1" numFmtId="4">
    <nc r="H117">
      <v>30</v>
    </nc>
  </rcc>
  <rcc rId="5114" sId="1" numFmtId="4">
    <nc r="G121">
      <v>181</v>
    </nc>
  </rcc>
  <rcc rId="5115" sId="1" numFmtId="4">
    <nc r="H121">
      <v>181</v>
    </nc>
  </rcc>
  <rcc rId="5116" sId="1" numFmtId="4">
    <oc r="G129">
      <v>532</v>
    </oc>
    <nc r="G129">
      <f>532+532</f>
    </nc>
  </rcc>
  <rcc rId="5117" sId="1" numFmtId="4">
    <oc r="H129">
      <v>532</v>
    </oc>
    <nc r="H129">
      <f>532+532</f>
    </nc>
  </rcc>
  <rcc rId="5118" sId="1">
    <oc r="F135" t="inlineStr">
      <is>
        <t>312</t>
      </is>
    </oc>
    <nc r="F135" t="inlineStr">
      <is>
        <t>321</t>
      </is>
    </nc>
  </rcc>
  <rcc rId="5119" sId="1" xfDxf="1" dxf="1">
    <oc r="A135" t="inlineStr">
      <is>
        <t>Иные пенсии, социальные доплаты к пенсиям</t>
      </is>
    </oc>
    <nc r="A135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20" sId="1" numFmtId="4">
    <nc r="G135">
      <v>5941.1</v>
    </nc>
  </rcc>
  <rcc rId="5121" sId="1" numFmtId="4">
    <nc r="H135">
      <v>5941.1</v>
    </nc>
  </rcc>
  <rrc rId="5122" sId="1" ref="A136:XFD136" action="deleteRow">
    <undo index="65535" exp="ref" v="1" dr="H136" r="H130" sId="1"/>
    <undo index="65535" exp="ref" v="1" dr="G136" r="G130" sId="1"/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6">
        <v>968</v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3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4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6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7" sId="1">
    <oc r="G130">
      <f>G131+G136+#REF!</f>
    </oc>
    <nc r="G130">
      <f>G131+G136</f>
    </nc>
  </rcc>
  <rcc rId="5128" sId="1">
    <oc r="H130">
      <f>H131+H136+#REF!</f>
    </oc>
    <nc r="H130">
      <f>H131+H136</f>
    </nc>
  </rcc>
  <rcc rId="5129" sId="1" numFmtId="4">
    <nc r="G262">
      <v>8116.3</v>
    </nc>
  </rcc>
  <rcc rId="5130" sId="1" numFmtId="4">
    <nc r="H262">
      <v>8116.3</v>
    </nc>
  </rcc>
  <rcc rId="5131" sId="1" numFmtId="4">
    <nc r="G263">
      <v>2451.1</v>
    </nc>
  </rcc>
  <rcc rId="5132" sId="1" numFmtId="4">
    <nc r="H263">
      <v>2451.1</v>
    </nc>
  </rcc>
  <rcc rId="5133" sId="1" numFmtId="4">
    <nc r="G280">
      <v>7116.9</v>
    </nc>
  </rcc>
  <rcc rId="5134" sId="1" numFmtId="4">
    <nc r="H280">
      <v>7116.9</v>
    </nc>
  </rcc>
  <rcc rId="5135" sId="1" numFmtId="4">
    <nc r="G281">
      <v>2149.3000000000002</v>
    </nc>
  </rcc>
  <rcc rId="5136" sId="1" numFmtId="4">
    <nc r="H281">
      <v>2149.3000000000002</v>
    </nc>
  </rcc>
  <rcc rId="5137" sId="1" numFmtId="4">
    <nc r="G284">
      <v>200</v>
    </nc>
  </rcc>
  <rcc rId="5138" sId="1" numFmtId="4">
    <nc r="H284">
      <v>200</v>
    </nc>
  </rcc>
  <rcc rId="5139" sId="1" numFmtId="4">
    <oc r="G296">
      <v>1427.8</v>
    </oc>
    <nc r="G296">
      <f>1427.8+44.16</f>
    </nc>
  </rcc>
  <rcc rId="5140" sId="1" numFmtId="4">
    <oc r="H296">
      <v>1427.8</v>
    </oc>
    <nc r="H296">
      <f>1427.8+44.16</f>
    </nc>
  </rcc>
  <rrc rId="5141" sId="1" ref="A297:XFD297" action="deleteRow">
    <undo index="0" exp="ref" v="1" dr="H297" r="H288" sId="1"/>
    <undo index="0" exp="ref" v="1" dr="G297" r="G288" sId="1"/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7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2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3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4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5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6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7" sId="1">
    <oc r="G288">
      <f>#REF!+G289</f>
    </oc>
    <nc r="G288">
      <f>G289</f>
    </nc>
  </rcc>
  <rcc rId="5148" sId="1">
    <oc r="H288">
      <f>#REF!+H289</f>
    </oc>
    <nc r="H288">
      <f>H289</f>
    </nc>
  </rcc>
  <rcc rId="5149" sId="1" numFmtId="4">
    <nc r="G404">
      <v>100</v>
    </nc>
  </rcc>
  <rcc rId="5150" sId="1" numFmtId="4">
    <nc r="H404">
      <v>100</v>
    </nc>
  </rcc>
  <rcc rId="5151" sId="1" numFmtId="4">
    <nc r="G418">
      <v>2845.5</v>
    </nc>
  </rcc>
  <rcc rId="5152" sId="1" numFmtId="4">
    <nc r="G419">
      <v>859.3</v>
    </nc>
  </rcc>
  <rcc rId="5153" sId="1" numFmtId="4">
    <nc r="H418">
      <v>2845.5</v>
    </nc>
  </rcc>
  <rcc rId="5154" sId="1" numFmtId="4">
    <nc r="H419">
      <v>859.3</v>
    </nc>
  </rcc>
  <rcc rId="5155" sId="1" numFmtId="4">
    <nc r="G424">
      <v>400</v>
    </nc>
  </rcc>
  <rcc rId="5156" sId="1" numFmtId="4">
    <nc r="H424">
      <v>400</v>
    </nc>
  </rcc>
  <rrc rId="515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9" sId="1" ref="A433:XFD433" action="deleteRow">
    <undo index="65535" exp="area" dr="H431:H433" r="H430" sId="1"/>
    <undo index="65535" exp="area" dr="G431:G433" r="G430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60" sId="1" numFmtId="4">
    <nc r="G431">
      <v>6876.8</v>
    </nc>
  </rcc>
  <rcc rId="5161" sId="1" numFmtId="4">
    <nc r="H431">
      <v>6876.8</v>
    </nc>
  </rcc>
  <rcc rId="5162" sId="1" numFmtId="4">
    <nc r="G432">
      <v>2076.8000000000002</v>
    </nc>
  </rcc>
  <rcc rId="5163" sId="1" numFmtId="4">
    <nc r="H432">
      <v>2076.8000000000002</v>
    </nc>
  </rcc>
  <rcc rId="5164" sId="1" numFmtId="4">
    <nc r="G446">
      <v>500</v>
    </nc>
  </rcc>
  <rcc rId="5165" sId="1" numFmtId="4">
    <nc r="H446">
      <v>500</v>
    </nc>
  </rcc>
  <rrc rId="5166" sId="1" ref="A448:XFD448" action="deleteRow">
    <undo index="65535" exp="ref" v="1" dr="H448" r="H447" sId="1"/>
    <undo index="65535" exp="ref" v="1" dr="G448" r="G447" sId="1"/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44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7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8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SUM(G449:G450)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SUM(H449:H450)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70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1" sId="1">
    <oc r="G447">
      <f>G448+#REF!</f>
    </oc>
    <nc r="G447">
      <f>G448</f>
    </nc>
  </rcc>
  <rcc rId="5172" sId="1">
    <oc r="H447">
      <f>H448+#REF!</f>
    </oc>
    <nc r="H447">
      <f>H448</f>
    </nc>
  </rcc>
  <rrc rId="5173" sId="1" ref="A452:XFD452" action="deleteRow">
    <undo index="65535" exp="ref" v="1" dr="H452" r="H425" sId="1"/>
    <undo index="65535" exp="ref" v="1" dr="G452" r="G425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4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5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6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7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8" sId="1">
    <oc r="G425">
      <f>G426+G433+G441+#REF!</f>
    </oc>
    <nc r="G425">
      <f>G426+G433+G441</f>
    </nc>
  </rcc>
  <rcc rId="5179" sId="1">
    <oc r="H425">
      <f>H426+H433+H441+#REF!</f>
    </oc>
    <nc r="H425">
      <f>H426+H433+H441</f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0" sId="1">
    <nc r="G91">
      <f>1990.8+601.2</f>
    </nc>
  </rcc>
  <rcc rId="5181" sId="1">
    <nc r="H91">
      <f>1990.8+601.2</f>
    </nc>
  </rcc>
  <rcc rId="5182" sId="1" numFmtId="4">
    <nc r="G94">
      <v>21232.3</v>
    </nc>
  </rcc>
  <rcc rId="5183" sId="1" numFmtId="4">
    <nc r="G95">
      <v>6412.2</v>
    </nc>
  </rcc>
  <rcc rId="5184" sId="1" numFmtId="4">
    <nc r="H94">
      <v>21232.3</v>
    </nc>
  </rcc>
  <rcc rId="5185" sId="1" numFmtId="4">
    <nc r="H95">
      <v>6412.2</v>
    </nc>
  </rcc>
  <rcc rId="5186" sId="1" numFmtId="4">
    <nc r="G96">
      <v>92.7</v>
    </nc>
  </rcc>
  <rcc rId="5187" sId="1" numFmtId="4">
    <nc r="G97">
      <v>2550</v>
    </nc>
  </rcc>
  <rcc rId="5188" sId="1" numFmtId="4">
    <nc r="H96">
      <v>92.7</v>
    </nc>
  </rcc>
  <rcc rId="5189" sId="1" numFmtId="4">
    <nc r="H97">
      <v>2550</v>
    </nc>
  </rcc>
  <rcc rId="5190" sId="1" numFmtId="4">
    <nc r="G99">
      <v>39.1</v>
    </nc>
  </rcc>
  <rcc rId="5191" sId="1" numFmtId="4">
    <nc r="H99">
      <v>39.1</v>
    </nc>
  </rcc>
  <rrc rId="5192" sId="1" ref="A98:XFD98" action="deleteRow">
    <rfmt sheetId="1" xfDxf="1" sqref="A98:XFD98" start="0" length="0">
      <dxf>
        <font>
          <name val="Times New Roman CYR"/>
          <family val="1"/>
        </font>
        <alignment wrapText="1"/>
      </dxf>
    </rfmt>
    <rcc rId="0" sId="1" dxf="1">
      <nc r="A9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93" sId="1" numFmtId="4">
    <nc r="H305">
      <v>13722.8</v>
    </nc>
  </rcc>
  <rcc rId="5194" sId="1">
    <nc r="I305">
      <v>13722.8</v>
    </nc>
  </rcc>
  <rcc rId="5195" sId="1" numFmtId="4">
    <nc r="G305">
      <v>13722.8</v>
    </nc>
  </rcc>
  <rcc rId="5196" sId="1" numFmtId="4">
    <nc r="G314">
      <v>10449.620000000001</v>
    </nc>
  </rcc>
  <rcc rId="5197" sId="1" numFmtId="4">
    <nc r="H314">
      <v>10449.620000000001</v>
    </nc>
  </rcc>
  <rcc rId="5198" sId="1">
    <nc r="I314">
      <v>10449.620000000001</v>
    </nc>
  </rcc>
  <rcc rId="5199" sId="1" numFmtId="4">
    <nc r="G320">
      <v>14456.42</v>
    </nc>
  </rcc>
  <rcc rId="5200" sId="1" numFmtId="4">
    <nc r="H320">
      <v>14456.42</v>
    </nc>
  </rcc>
  <rcc rId="5201" sId="1">
    <nc r="I320">
      <v>14456.42</v>
    </nc>
  </rcc>
  <rcc rId="5202" sId="1" numFmtId="4">
    <nc r="G327">
      <v>8367.26</v>
    </nc>
  </rcc>
  <rcc rId="5203" sId="1" numFmtId="4">
    <nc r="H327">
      <v>8367.26</v>
    </nc>
  </rcc>
  <rcc rId="5204" sId="1" numFmtId="4">
    <nc r="H385">
      <v>13421.9</v>
    </nc>
  </rcc>
  <rcc rId="5205" sId="1" numFmtId="4">
    <nc r="G385">
      <v>13421.9</v>
    </nc>
  </rcc>
  <rcc rId="5206" sId="1">
    <nc r="I385">
      <v>13421.9</v>
    </nc>
  </rcc>
  <rcc rId="5207" sId="1" numFmtId="4">
    <nc r="G356">
      <v>100</v>
    </nc>
  </rcc>
  <rcc rId="5208" sId="1" numFmtId="4">
    <nc r="H356">
      <v>100</v>
    </nc>
  </rcc>
  <rcc rId="5209" sId="1">
    <nc r="I356">
      <v>100</v>
    </nc>
  </rcc>
  <rcc rId="5210" sId="1" numFmtId="4">
    <nc r="G376">
      <v>859.2</v>
    </nc>
  </rcc>
  <rcc rId="5211" sId="1" numFmtId="4">
    <nc r="H376">
      <v>859.2</v>
    </nc>
  </rcc>
  <rcc rId="5212" sId="1" numFmtId="4">
    <nc r="G377">
      <v>259.5</v>
    </nc>
  </rcc>
  <rcc rId="5213" sId="1" numFmtId="4">
    <nc r="H377">
      <v>259.5</v>
    </nc>
  </rcc>
  <rcc rId="5214" sId="1" numFmtId="4">
    <nc r="G347">
      <v>47.1</v>
    </nc>
  </rcc>
  <rcc rId="5215" sId="1" numFmtId="4">
    <nc r="H347">
      <v>47.1</v>
    </nc>
  </rcc>
  <rcc rId="5216" sId="1" numFmtId="4">
    <nc r="G348">
      <v>322</v>
    </nc>
  </rcc>
  <rcc rId="5217" sId="1" numFmtId="4">
    <nc r="H348">
      <v>322</v>
    </nc>
  </rcc>
  <rcc rId="5218" sId="1">
    <nc r="I347">
      <v>47.1</v>
    </nc>
  </rcc>
  <rcc rId="5219" sId="1">
    <nc r="I348">
      <v>322</v>
    </nc>
  </rcc>
  <rcc rId="5220" sId="1" numFmtId="4">
    <nc r="G365">
      <v>233.1</v>
    </nc>
  </rcc>
  <rcc rId="5221" sId="1" numFmtId="4">
    <nc r="H365">
      <v>233.1</v>
    </nc>
  </rcc>
  <rcc rId="5222" sId="1">
    <nc r="I365">
      <v>233.1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3" sId="1">
    <nc r="J305">
      <v>13722.8</v>
    </nc>
  </rcc>
  <rcc rId="5224" sId="1">
    <nc r="J314">
      <v>10449.620000000001</v>
    </nc>
  </rcc>
  <rcc rId="5225" sId="1">
    <nc r="J320">
      <v>14456.42</v>
    </nc>
  </rcc>
  <rcc rId="5226" sId="1">
    <nc r="J347">
      <v>47.1</v>
    </nc>
  </rcc>
  <rcc rId="5227" sId="1">
    <nc r="J348">
      <v>322</v>
    </nc>
  </rcc>
  <rcc rId="5228" sId="1">
    <nc r="J356">
      <v>100</v>
    </nc>
  </rcc>
  <rcc rId="5229" sId="1">
    <nc r="J365">
      <v>233.1</v>
    </nc>
  </rcc>
  <rcc rId="5230" sId="1">
    <nc r="J385">
      <v>13421.9</v>
    </nc>
  </rcc>
  <rfmt sheetId="1" sqref="G364:H364">
    <dxf>
      <fill>
        <patternFill patternType="solid">
          <bgColor rgb="FF92D050"/>
        </patternFill>
      </fill>
    </dxf>
  </rfmt>
  <rfmt sheetId="1" sqref="G354:H355" start="0" length="2147483647">
    <dxf>
      <font>
        <i/>
      </font>
    </dxf>
  </rfmt>
  <rfmt sheetId="1" sqref="G355:H355">
    <dxf>
      <fill>
        <patternFill>
          <bgColor rgb="FF92D050"/>
        </patternFill>
      </fill>
    </dxf>
  </rfmt>
  <rfmt sheetId="1" sqref="G346:H346">
    <dxf>
      <fill>
        <patternFill patternType="solid">
          <bgColor rgb="FF92D050"/>
        </patternFill>
      </fill>
    </dxf>
  </rfmt>
  <rfmt sheetId="1" sqref="G319:H319">
    <dxf>
      <fill>
        <patternFill>
          <bgColor rgb="FF92D050"/>
        </patternFill>
      </fill>
    </dxf>
  </rfmt>
  <rfmt sheetId="1" sqref="G313:H313">
    <dxf>
      <fill>
        <patternFill patternType="solid">
          <bgColor rgb="FF92D050"/>
        </patternFill>
      </fill>
    </dxf>
  </rfmt>
  <rfmt sheetId="1" sqref="G304:H304">
    <dxf>
      <fill>
        <patternFill patternType="solid">
          <bgColor rgb="FF92D050"/>
        </patternFill>
      </fill>
    </dxf>
  </rfmt>
  <rcc rId="5231" sId="1">
    <nc r="I327">
      <v>8367.26</v>
    </nc>
  </rcc>
  <rcc rId="5232" sId="1">
    <nc r="J327">
      <v>8367.26</v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>
    <nc r="I454">
      <v>165197.20000000001</v>
    </nc>
  </rcc>
  <rcc rId="5234" sId="1">
    <nc r="J454">
      <v>168996.7</v>
    </nc>
  </rcc>
  <rcc rId="5235" sId="1">
    <nc r="I455">
      <v>185167.2</v>
    </nc>
  </rcc>
  <rcc rId="5236" sId="1">
    <nc r="J455">
      <v>185167.2</v>
    </nc>
  </rcc>
  <rcc rId="5237" sId="1" odxf="1" dxf="1">
    <nc r="I456">
      <f>I452+I454+I455</f>
    </nc>
    <odxf>
      <numFmt numFmtId="0" formatCode="General"/>
    </odxf>
    <ndxf>
      <numFmt numFmtId="4" formatCode="#,##0.00"/>
    </ndxf>
  </rcc>
  <rcc rId="5238" sId="1" odxf="1" dxf="1">
    <nc r="J456">
      <f>J452+J454+J455</f>
    </nc>
    <odxf>
      <numFmt numFmtId="0" formatCode="General"/>
    </odxf>
    <ndxf>
      <numFmt numFmtId="4" formatCode="#,##0.00"/>
    </ndxf>
  </rcc>
  <rfmt sheetId="1" sqref="K456" start="0" length="0">
    <dxf>
      <numFmt numFmtId="4" formatCode="#,##0.00"/>
    </dxf>
  </rfmt>
  <rfmt sheetId="1" sqref="I454:J456">
    <dxf>
      <numFmt numFmtId="4" formatCode="#,##0.00"/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9" sId="1">
    <nc r="G293">
      <f>17764.6-44.16</f>
    </nc>
  </rcc>
  <rcc rId="5240" sId="1">
    <nc r="H293">
      <f>17766.6-44.16</f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1" sId="1" numFmtId="4">
    <nc r="G450">
      <v>16327.6</v>
    </nc>
  </rcc>
  <rcc rId="5242" sId="1" numFmtId="4">
    <nc r="H450">
      <v>16327.6</v>
    </nc>
  </rcc>
  <rcc rId="5243" sId="1" numFmtId="4">
    <nc r="G459">
      <v>248521.4</v>
    </nc>
  </rcc>
  <rcc rId="5244" sId="1">
    <nc r="F459" t="inlineStr">
      <is>
        <t>собсв</t>
      </is>
    </nc>
  </rcc>
  <rcc rId="5245" sId="1">
    <nc r="F460" t="inlineStr">
      <is>
        <t>безвозм</t>
      </is>
    </nc>
  </rcc>
  <rcc rId="5246" sId="1" numFmtId="4">
    <nc r="G460">
      <v>1263294.8</v>
    </nc>
  </rcc>
  <rcc rId="5247" sId="1" numFmtId="4">
    <nc r="H460">
      <v>1202800.7</v>
    </nc>
  </rcc>
  <rcc rId="5248" sId="1" numFmtId="4">
    <nc r="H459">
      <v>251823.2</v>
    </nc>
  </rcc>
  <rcc rId="5249" sId="1">
    <nc r="F461" t="inlineStr">
      <is>
        <t>итого</t>
      </is>
    </nc>
  </rcc>
  <rcc rId="5250" sId="1">
    <nc r="G461">
      <f>G459+G460</f>
    </nc>
  </rcc>
  <rcc rId="5251" sId="1">
    <nc r="H461">
      <f>H459+H460</f>
    </nc>
  </rcc>
  <rcc rId="5252" sId="1">
    <nc r="G463">
      <f>G452-G461</f>
    </nc>
  </rcc>
  <rcc rId="5253" sId="1">
    <nc r="H463">
      <f>H452-H461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54" sId="1" numFmtId="4">
    <nc r="G342">
      <v>151</v>
    </nc>
  </rcc>
  <rcc rId="5255" sId="1" numFmtId="4">
    <nc r="H342">
      <v>151</v>
    </nc>
  </rcc>
  <rcc rId="5256" sId="1" numFmtId="4">
    <nc r="G324">
      <v>500</v>
    </nc>
  </rcc>
  <rcc rId="5257" sId="1" numFmtId="4">
    <nc r="H324">
      <v>500</v>
    </nc>
  </rcc>
  <rcc rId="5258" sId="1" numFmtId="4">
    <oc r="G286">
      <v>9321</v>
    </oc>
    <nc r="G286">
      <f>9321+288.3</f>
    </nc>
  </rcc>
  <rcc rId="5259" sId="1" numFmtId="4">
    <oc r="H286">
      <v>9321</v>
    </oc>
    <nc r="H286">
      <f>9321+288.3</f>
    </nc>
  </rcc>
  <rcc rId="5260" sId="1" numFmtId="4">
    <oc r="G283">
      <v>200</v>
    </oc>
    <nc r="G283">
      <v>500</v>
    </nc>
  </rcc>
  <rcc rId="5261" sId="1" numFmtId="4">
    <oc r="H283">
      <v>200</v>
    </oc>
    <nc r="H283">
      <v>500</v>
    </nc>
  </rcc>
  <rfmt sheetId="1" sqref="G269:H269">
    <dxf>
      <fill>
        <patternFill>
          <bgColor rgb="FFFF0000"/>
        </patternFill>
      </fill>
    </dxf>
  </rfmt>
  <rcc rId="5262" sId="1" numFmtId="4">
    <nc r="G245">
      <v>200</v>
    </nc>
  </rcc>
  <rcc rId="5263" sId="1" numFmtId="4">
    <nc r="H245">
      <v>200</v>
    </nc>
  </rcc>
  <rcc rId="5264" sId="1" numFmtId="4">
    <nc r="G248">
      <v>98</v>
    </nc>
  </rcc>
  <rcc rId="5265" sId="1" numFmtId="4">
    <nc r="H248">
      <v>98</v>
    </nc>
  </rcc>
  <rcc rId="5266" sId="1" numFmtId="4">
    <oc r="G209">
      <v>395</v>
    </oc>
    <nc r="G209">
      <f>395+12.2</f>
    </nc>
  </rcc>
  <rcc rId="5267" sId="1" numFmtId="4">
    <oc r="H209">
      <v>395</v>
    </oc>
    <nc r="H209">
      <f>395+12.2</f>
    </nc>
  </rcc>
  <rcc rId="5268" sId="1" numFmtId="4">
    <oc r="G193">
      <v>8319</v>
    </oc>
    <nc r="G193">
      <f>8319+437.8</f>
    </nc>
  </rcc>
  <rcc rId="5269" sId="1" numFmtId="4">
    <oc r="H193">
      <v>8319</v>
    </oc>
    <nc r="H193">
      <f>8319+437.8</f>
    </nc>
  </rcc>
  <rcc rId="5270" sId="1" numFmtId="4">
    <nc r="G190">
      <v>374.4</v>
    </nc>
  </rcc>
  <rcc rId="5271" sId="1" numFmtId="4">
    <nc r="H190">
      <v>374.4</v>
    </nc>
  </rcc>
  <rcc rId="5272" sId="1" numFmtId="4">
    <oc r="G179">
      <v>27585.599999999999</v>
    </oc>
    <nc r="G179">
      <f>27585.6+278.6</f>
    </nc>
  </rcc>
  <rcc rId="5273" sId="1" numFmtId="4">
    <oc r="G185">
      <v>1523.6</v>
    </oc>
    <nc r="G185">
      <f>1523.6+47.1</f>
    </nc>
  </rcc>
  <rcc rId="5274" sId="1" numFmtId="4">
    <oc r="H185">
      <v>1523.6</v>
    </oc>
    <nc r="H185">
      <f>1523.6+47.1</f>
    </nc>
  </rcc>
  <rcc rId="5275" sId="1" numFmtId="4">
    <oc r="G183">
      <v>10804.3</v>
    </oc>
    <nc r="G183">
      <f>10804.3+9581.2</f>
    </nc>
  </rcc>
  <rcc rId="5276" sId="1" numFmtId="4">
    <oc r="H183">
      <v>10804.3</v>
    </oc>
    <nc r="H183">
      <f>10804.3+9581.2</f>
    </nc>
  </rcc>
  <rcc rId="5277" sId="1">
    <oc r="G181">
      <f>136340.4</f>
    </oc>
    <nc r="G181">
      <f>136340.4+4216.7</f>
    </nc>
  </rcc>
  <rcc rId="5278" sId="1">
    <oc r="H181">
      <f>136340.4</f>
    </oc>
    <nc r="H181">
      <f>136340.4+4216.7</f>
    </nc>
  </rcc>
  <rcc rId="5279" sId="1" numFmtId="4">
    <oc r="G163">
      <v>324</v>
    </oc>
    <nc r="G163">
      <f>324+324</f>
    </nc>
  </rcc>
  <rcc rId="5280" sId="1" numFmtId="4">
    <oc r="H163">
      <v>324</v>
    </oc>
    <nc r="H163">
      <f>324+324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81" sId="1" ref="A166:XFD167" action="insertRow"/>
  <rcc rId="5282" sId="1" odxf="1" dxf="1">
    <nc r="A166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3" sId="1" odxf="1" dxf="1" numFmtId="30">
    <nc r="B1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4" sId="1" odxf="1" dxf="1">
    <nc r="C1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5" sId="1" odxf="1" dxf="1">
    <nc r="D1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6" sId="1" odxf="1" dxf="1">
    <nc r="E166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6" start="0" length="0">
    <dxf>
      <font>
        <i/>
        <name val="Times New Roman"/>
        <family val="1"/>
      </font>
    </dxf>
  </rfmt>
  <rcc rId="5287" sId="1" odxf="1" dxf="1">
    <nc r="G166">
      <f>G167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8" sId="1" odxf="1" dxf="1">
    <nc r="H166">
      <f>H167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9" sId="1">
    <nc r="A1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290" sId="1" numFmtId="30">
    <nc r="B167">
      <v>969</v>
    </nc>
  </rcc>
  <rcc rId="5291" sId="1">
    <nc r="C167" t="inlineStr">
      <is>
        <t>07</t>
      </is>
    </nc>
  </rcc>
  <rcc rId="5292" sId="1">
    <nc r="D167" t="inlineStr">
      <is>
        <t>01</t>
      </is>
    </nc>
  </rcc>
  <rcc rId="5293" sId="1">
    <nc r="E167" t="inlineStr">
      <is>
        <t>10101 S2160</t>
      </is>
    </nc>
  </rcc>
  <rcc rId="5294" sId="1">
    <nc r="F167" t="inlineStr">
      <is>
        <t>611</t>
      </is>
    </nc>
  </rcc>
  <rcc rId="5295" sId="1">
    <nc r="G167">
      <f>104336+3373.5</f>
    </nc>
  </rcc>
  <rcc rId="5296" sId="1">
    <nc r="H167">
      <f>104336+3373.5</f>
    </nc>
  </rcc>
  <rrc rId="5297" sId="1" ref="A244:XFD246" action="insertRow"/>
  <rcc rId="5298" sId="1" odxf="1" dxf="1">
    <nc r="A24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299" sId="1" odxf="1" dxf="1" numFmtId="30">
    <nc r="B24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0" sId="1" odxf="1" dxf="1">
    <nc r="C24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1" sId="1" odxf="1" dxf="1">
    <nc r="D24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2" sId="1" odxf="1" dxf="1">
    <nc r="E244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4" start="0" length="0">
    <dxf>
      <font>
        <i/>
        <name val="Times New Roman"/>
        <family val="1"/>
      </font>
    </dxf>
  </rfmt>
  <rcc rId="5303" sId="1" odxf="1" dxf="1">
    <nc r="G244">
      <f>SUM(G245:G246)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4" sId="1" odxf="1" dxf="1">
    <nc r="H244">
      <f>SUM(H245:H246)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5" sId="1" odxf="1" dxf="1">
    <nc r="A24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306" sId="1" numFmtId="30">
    <nc r="B245">
      <v>969</v>
    </nc>
  </rcc>
  <rcc rId="5307" sId="1">
    <nc r="C245" t="inlineStr">
      <is>
        <t>07</t>
      </is>
    </nc>
  </rcc>
  <rcc rId="5308" sId="1">
    <nc r="D245" t="inlineStr">
      <is>
        <t>09</t>
      </is>
    </nc>
  </rcc>
  <rcc rId="5309" sId="1">
    <nc r="E245" t="inlineStr">
      <is>
        <t>10501  S2160</t>
      </is>
    </nc>
  </rcc>
  <rcc rId="5310" sId="1">
    <nc r="F245" t="inlineStr">
      <is>
        <t>111</t>
      </is>
    </nc>
  </rcc>
  <rcc rId="5311" sId="1" odxf="1" dxf="1">
    <nc r="A2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312" sId="1" numFmtId="30">
    <nc r="B246">
      <v>969</v>
    </nc>
  </rcc>
  <rcc rId="5313" sId="1">
    <nc r="C246" t="inlineStr">
      <is>
        <t>07</t>
      </is>
    </nc>
  </rcc>
  <rcc rId="5314" sId="1">
    <nc r="D246" t="inlineStr">
      <is>
        <t>09</t>
      </is>
    </nc>
  </rcc>
  <rcc rId="5315" sId="1">
    <nc r="E246" t="inlineStr">
      <is>
        <t>10501 S2160</t>
      </is>
    </nc>
  </rcc>
  <rcc rId="5316" sId="1">
    <nc r="F246" t="inlineStr">
      <is>
        <t>119</t>
      </is>
    </nc>
  </rcc>
  <rcc rId="5317" sId="1">
    <oc r="G231">
      <f>G234+G237+G232</f>
    </oc>
    <nc r="G231">
      <f>G234+G237+G232+G244</f>
    </nc>
  </rcc>
  <rcc rId="5318" sId="1">
    <oc r="H231">
      <f>H234+H237+H232</f>
    </oc>
    <nc r="H231">
      <f>H234+H237+H232+H244</f>
    </nc>
  </rcc>
  <rcc rId="5319" sId="1">
    <nc r="G245">
      <f>62082.3+2007.4</f>
    </nc>
  </rcc>
  <rcc rId="5320" sId="1">
    <nc r="G246">
      <f>18748.9+606.2</f>
    </nc>
  </rcc>
  <rcc rId="5321" sId="1">
    <nc r="H245">
      <f>62082.3+2007.4</f>
    </nc>
  </rcc>
  <rcc rId="5322" sId="1">
    <nc r="H246">
      <f>18748.9+606.2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23" sId="1" numFmtId="4">
    <nc r="G238">
      <v>0</v>
    </nc>
  </rcc>
  <rcc rId="5324" sId="1" numFmtId="4">
    <nc r="H238">
      <v>0</v>
    </nc>
  </rcc>
  <rcc rId="5325" sId="1" numFmtId="4">
    <nc r="G239">
      <v>0</v>
    </nc>
  </rcc>
  <rcc rId="5326" sId="1" numFmtId="4">
    <nc r="H239">
      <v>0</v>
    </nc>
  </rcc>
  <rcc rId="5327" sId="1" numFmtId="4">
    <nc r="G235">
      <v>1101.4000000000001</v>
    </nc>
  </rcc>
  <rcc rId="5328" sId="1" numFmtId="4">
    <nc r="H235">
      <v>1101.4000000000001</v>
    </nc>
  </rcc>
  <rcc rId="5329" sId="1" numFmtId="4">
    <nc r="G236">
      <v>332.6</v>
    </nc>
  </rcc>
  <rcc rId="5330" sId="1" numFmtId="4">
    <nc r="H236">
      <v>332.6</v>
    </nc>
  </rcc>
  <rcc rId="5331" sId="1" numFmtId="4">
    <nc r="G240">
      <v>15.5</v>
    </nc>
  </rcc>
  <rcc rId="5332" sId="1" numFmtId="4">
    <nc r="H240">
      <v>15.5</v>
    </nc>
  </rcc>
  <rcc rId="5333" sId="1" numFmtId="4">
    <nc r="G241">
      <v>903.1</v>
    </nc>
  </rcc>
  <rcc rId="5334" sId="1" numFmtId="4">
    <nc r="H241">
      <v>903.1</v>
    </nc>
  </rcc>
  <rcc rId="5335" sId="1" numFmtId="4">
    <nc r="H242">
      <v>17.100000000000001</v>
    </nc>
  </rcc>
  <rcc rId="5336" sId="1" numFmtId="4">
    <nc r="G242">
      <v>17.100000000000001</v>
    </nc>
  </rcc>
  <rcc rId="5337" sId="1" numFmtId="4">
    <nc r="G243">
      <v>26.8</v>
    </nc>
  </rcc>
  <rcc rId="5338" sId="1" numFmtId="4">
    <nc r="H243">
      <v>26.8</v>
    </nc>
  </rcc>
  <rcc rId="5339" sId="1">
    <oc r="G245">
      <f>62082.3+2007.4</f>
    </oc>
    <nc r="G245">
      <f>34989.6+1082.2</f>
    </nc>
  </rcc>
  <rcc rId="5340" sId="1">
    <oc r="G246">
      <f>18748.9+606.2</f>
    </oc>
    <nc r="G246">
      <f>10566.8+326.8</f>
    </nc>
  </rcc>
  <rcc rId="5341" sId="1">
    <oc r="H245">
      <f>62082.3+2007.4</f>
    </oc>
    <nc r="H245">
      <f>34989.6+1082.2</f>
    </nc>
  </rcc>
  <rcc rId="5342" sId="1">
    <oc r="H246">
      <f>18748.9+606.2</f>
    </oc>
    <nc r="H246">
      <f>10566.8+326.8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3" sId="1" numFmtId="4">
    <oc r="G204">
      <v>30260.7</v>
    </oc>
    <nc r="G204">
      <f>7262.6</f>
    </nc>
  </rcc>
  <rcc rId="5344" sId="1" numFmtId="4">
    <nc r="G205">
      <v>22998.1</v>
    </nc>
  </rcc>
  <rcc rId="5345" sId="1" numFmtId="4">
    <oc r="H204">
      <v>30260.7</v>
    </oc>
    <nc r="H204">
      <f>7262.6</f>
    </nc>
  </rcc>
  <rcc rId="5346" sId="1" numFmtId="4">
    <nc r="H205">
      <v>22998.1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7" sId="1" numFmtId="4">
    <nc r="G201">
      <v>100</v>
    </nc>
  </rcc>
  <rcc rId="5348" sId="1" numFmtId="4">
    <nc r="H201">
      <v>100</v>
    </nc>
  </rcc>
  <rcc rId="5349" sId="1" numFmtId="4">
    <nc r="G202">
      <v>777.6</v>
    </nc>
  </rcc>
  <rcc rId="5350" sId="1" numFmtId="4">
    <nc r="H202">
      <v>777.6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51" sId="1" ref="A206:XFD208" action="insertRow"/>
  <rfmt sheetId="1" sqref="A206" start="0" length="0">
    <dxf>
      <font>
        <i/>
        <color indexed="8"/>
        <name val="Times New Roman"/>
        <family val="1"/>
      </font>
    </dxf>
  </rfmt>
  <rcc rId="5352" sId="1" odxf="1" dxf="1" numFmtId="30">
    <nc r="B20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3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4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F206" start="0" length="0">
    <dxf>
      <font>
        <i/>
        <name val="Times New Roman"/>
        <family val="1"/>
      </font>
    </dxf>
  </rfmt>
  <rcc rId="5355" sId="1" odxf="1" dxf="1">
    <nc r="G206">
      <f>G207+G208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6" sId="1" odxf="1" dxf="1">
    <nc r="H206">
      <f>H207+H208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7" sId="1" odxf="1" dxf="1">
    <nc r="A20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358" sId="1" numFmtId="30">
    <nc r="B207">
      <v>969</v>
    </nc>
  </rcc>
  <rcc rId="5359" sId="1">
    <nc r="C207" t="inlineStr">
      <is>
        <t>07</t>
      </is>
    </nc>
  </rcc>
  <rcc rId="5360" sId="1">
    <nc r="D207" t="inlineStr">
      <is>
        <t>03</t>
      </is>
    </nc>
  </rcc>
  <rcc rId="5361" sId="1">
    <nc r="F207" t="inlineStr">
      <is>
        <t>611</t>
      </is>
    </nc>
  </rcc>
  <rcc rId="5362" sId="1">
    <nc r="A20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63" sId="1" numFmtId="30">
    <nc r="B208">
      <v>969</v>
    </nc>
  </rcc>
  <rcc rId="5364" sId="1">
    <nc r="C208" t="inlineStr">
      <is>
        <t>07</t>
      </is>
    </nc>
  </rcc>
  <rcc rId="5365" sId="1">
    <nc r="D208" t="inlineStr">
      <is>
        <t>03</t>
      </is>
    </nc>
  </rcc>
  <rcc rId="5366" sId="1">
    <nc r="F208" t="inlineStr">
      <is>
        <t>621</t>
      </is>
    </nc>
  </rcc>
  <rcc rId="5367" sId="1" odxf="1" dxf="1">
    <nc r="A206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68" sId="1">
    <nc r="E206" t="inlineStr">
      <is>
        <t>10301 S2160</t>
      </is>
    </nc>
  </rcc>
  <rcc rId="5369" sId="1" odxf="1" dxf="1">
    <nc r="E207" t="inlineStr">
      <is>
        <t>10301 S2160</t>
      </is>
    </nc>
    <ndxf>
      <font>
        <i/>
        <name val="Times New Roman"/>
        <family val="1"/>
      </font>
    </ndxf>
  </rcc>
  <rcc rId="5370" sId="1" odxf="1" dxf="1">
    <nc r="E208" t="inlineStr">
      <is>
        <t>10301 S2160</t>
      </is>
    </nc>
    <ndxf>
      <font>
        <i/>
        <name val="Times New Roman"/>
        <family val="1"/>
      </font>
    </ndxf>
  </rcc>
  <rfmt sheetId="1" sqref="E207:E208" start="0" length="2147483647">
    <dxf>
      <font>
        <i val="0"/>
      </font>
    </dxf>
  </rfmt>
  <rcc rId="5371" sId="1">
    <oc r="G199">
      <f>G200+G203</f>
    </oc>
    <nc r="G199">
      <f>G200+G203+G206</f>
    </nc>
  </rcc>
  <rcc rId="5372" sId="1">
    <oc r="H199">
      <f>H200+H203</f>
    </oc>
    <nc r="H199">
      <f>H200+H203+H206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3" sId="1">
    <nc r="G165">
      <f>26093.8</f>
    </nc>
  </rcc>
  <rcc rId="5374" sId="1">
    <nc r="H165">
      <f>26093.8</f>
    </nc>
  </rcc>
  <rcc rId="5375" sId="1" numFmtId="4">
    <nc r="G179">
      <f>62629.8</f>
    </nc>
  </rcc>
  <rcc rId="5376" sId="1">
    <nc r="H179">
      <f>62629.8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 odxf="1" dxf="1" numFmtId="4">
    <nc r="G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8" sId="1" odxf="1" dxf="1" numFmtId="4">
    <nc r="G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9" sId="1" odxf="1" dxf="1" numFmtId="4">
    <nc r="G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0" sId="1" odxf="1" dxf="1" numFmtId="4">
    <nc r="G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1" sId="1" odxf="1" dxf="1" numFmtId="4">
    <nc r="H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2" sId="1" odxf="1" dxf="1" numFmtId="4">
    <nc r="H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3" sId="1" odxf="1" dxf="1" numFmtId="4">
    <nc r="H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4" sId="1" odxf="1" dxf="1" numFmtId="4">
    <nc r="H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5" sId="1">
    <nc r="G368">
      <f>1674.6</f>
    </nc>
  </rcc>
  <rcc rId="5386" sId="1">
    <nc r="H368">
      <f>1674.6</f>
    </nc>
  </rcc>
  <rcc rId="5387" sId="1" numFmtId="4">
    <nc r="G380">
      <v>500</v>
    </nc>
  </rcc>
  <rcc rId="5388" sId="1" numFmtId="4">
    <nc r="H380">
      <v>500</v>
    </nc>
  </rcc>
  <rcc rId="5389" sId="1" numFmtId="4">
    <nc r="G402">
      <v>3946.4</v>
    </nc>
  </rcc>
  <rcc rId="5390" sId="1" numFmtId="4">
    <nc r="H402">
      <v>3946.4</v>
    </nc>
  </rcc>
  <rcc rId="5391" sId="1" numFmtId="4">
    <nc r="G403">
      <v>1191.8</v>
    </nc>
  </rcc>
  <rcc rId="5392" sId="1" numFmtId="4">
    <nc r="H403">
      <v>1191.8</v>
    </nc>
  </rcc>
  <rcc rId="5393" sId="1">
    <nc r="G391">
      <f>31385</f>
    </nc>
  </rcc>
  <rcc rId="5394" sId="1">
    <nc r="H391">
      <f>31385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5" sId="1" numFmtId="4">
    <nc r="G344">
      <v>10978</v>
    </nc>
  </rcc>
  <rcc rId="5396" sId="1" numFmtId="4">
    <nc r="H344">
      <v>10978</v>
    </nc>
  </rcc>
  <rcc rId="5397" sId="1" numFmtId="4">
    <nc r="G345">
      <v>3315.4</v>
    </nc>
  </rcc>
  <rcc rId="5398" sId="1" numFmtId="4">
    <nc r="H345">
      <v>3315.4</v>
    </nc>
  </rcc>
  <rcc rId="5399" sId="1" numFmtId="4">
    <nc r="G326">
      <v>21670.6</v>
    </nc>
  </rcc>
  <rcc rId="5400" sId="1" numFmtId="4">
    <nc r="H326">
      <v>21670.6</v>
    </nc>
  </rcc>
  <rcc rId="5401" sId="1" numFmtId="4">
    <nc r="G320">
      <v>13032.1</v>
    </nc>
  </rcc>
  <rcc rId="5402" sId="1" numFmtId="4">
    <nc r="H320">
      <v>13032.1</v>
    </nc>
  </rcc>
  <rcc rId="5403" sId="1" numFmtId="4">
    <nc r="G311">
      <v>15442.2</v>
    </nc>
  </rcc>
  <rcc rId="5404" sId="1" numFmtId="4">
    <nc r="H311">
      <v>15442.2</v>
    </nc>
  </rcc>
  <rcc rId="5405" sId="1" numFmtId="4">
    <nc r="G346">
      <v>6.5</v>
    </nc>
  </rcc>
  <rcc rId="5406" sId="1" numFmtId="4">
    <nc r="H346">
      <v>6.5</v>
    </nc>
  </rcc>
  <rcc rId="5407" sId="1" numFmtId="4">
    <nc r="G404">
      <v>5</v>
    </nc>
  </rcc>
  <rcc rId="5408" sId="1" numFmtId="4">
    <nc r="H404">
      <v>5</v>
    </nc>
  </rcc>
  <rcc rId="5409" sId="1" numFmtId="4">
    <oc r="G384">
      <v>859.2</v>
    </oc>
    <nc r="G384">
      <f>859.2+2243.8</f>
    </nc>
  </rcc>
  <rcc rId="5410" sId="1" numFmtId="4">
    <oc r="H384">
      <v>859.2</v>
    </oc>
    <nc r="H384">
      <f>859.2+2243.8</f>
    </nc>
  </rcc>
  <rcc rId="5411" sId="1" numFmtId="4">
    <oc r="G385">
      <v>259.5</v>
    </oc>
    <nc r="G385">
      <f>259.5+677.6</f>
    </nc>
  </rcc>
  <rcc rId="5412" sId="1" numFmtId="4">
    <oc r="H385">
      <v>259.5</v>
    </oc>
    <nc r="H385">
      <f>259.5+677.6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3" sId="1">
    <nc r="I383">
      <v>1118.7</v>
    </nc>
  </rcc>
  <rcc rId="5414" sId="1">
    <nc r="J383">
      <v>1118.7</v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:H383">
    <dxf>
      <fill>
        <patternFill patternType="solid">
          <bgColor rgb="FF92D050"/>
        </patternFill>
      </fill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5" sId="1" numFmtId="4">
    <oc r="G468">
      <v>1263294.8</v>
    </oc>
    <nc r="G468">
      <v>1264413.5</v>
    </nc>
  </rcc>
  <rcc rId="5416" sId="1" numFmtId="4">
    <oc r="H468">
      <v>1202800.7</v>
    </oc>
    <nc r="H468">
      <v>1203919.3999999999</v>
    </nc>
  </rcc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7" sId="1" numFmtId="34">
    <nc r="G459">
      <v>12426.07</v>
    </nc>
  </rcc>
  <rcc rId="5418" sId="1" numFmtId="34">
    <nc r="H459">
      <v>12591.16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9" sId="1">
    <oc r="G165">
      <f>26093.8</f>
    </oc>
    <nc r="G165">
      <f>26093.8+904.7</f>
    </nc>
  </rcc>
  <rcc rId="5420" sId="1">
    <oc r="H165">
      <f>26093.8</f>
    </oc>
    <nc r="H165">
      <f>26093.8+904.7</f>
    </nc>
  </rcc>
  <rcc rId="5421" sId="1">
    <oc r="G179">
      <f>62629.8</f>
    </oc>
    <nc r="G179">
      <f>62629.8+4758.7</f>
    </nc>
  </rcc>
  <rcc rId="5422" sId="1">
    <oc r="H179">
      <f>62629.8</f>
    </oc>
    <nc r="H179">
      <f>62629.8+4758.7</f>
    </nc>
  </rcc>
  <rcc rId="5423" sId="1" numFmtId="4">
    <oc r="G201">
      <v>100</v>
    </oc>
    <nc r="G201">
      <f>100+72.7</f>
    </nc>
  </rcc>
  <rcc rId="5424" sId="1" numFmtId="4">
    <oc r="H201">
      <v>100</v>
    </oc>
    <nc r="H201">
      <f>100+72.7</f>
    </nc>
  </rcc>
  <rcc rId="5425" sId="1" numFmtId="4">
    <oc r="G202">
      <v>777.6</v>
    </oc>
    <nc r="G202">
      <f>777.6+37.1</f>
    </nc>
  </rcc>
  <rcc rId="5426" sId="1" numFmtId="4">
    <oc r="H202">
      <v>777.6</v>
    </oc>
    <nc r="H202">
      <f>777.6+37.1</f>
    </nc>
  </rcc>
  <rcc rId="5427" sId="1" numFmtId="4">
    <nc r="G277">
      <v>24000</v>
    </nc>
  </rcc>
  <rcc rId="5428" sId="1" numFmtId="4">
    <nc r="H277">
      <v>24000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9" sId="1" numFmtId="34">
    <oc r="G459">
      <v>12426.07</v>
    </oc>
    <nc r="G459">
      <v>10342.965</v>
    </nc>
  </rcc>
  <rcc rId="5430" sId="1" numFmtId="34">
    <oc r="H459">
      <v>12591.16</v>
    </oc>
    <nc r="H459">
      <v>21040.994999999999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1" sId="1" numFmtId="4">
    <oc r="G277">
      <v>24000</v>
    </oc>
    <nc r="G277">
      <v>24053.7</v>
    </nc>
  </rcc>
  <rcc rId="5432" sId="1" numFmtId="4">
    <oc r="H277">
      <v>24000</v>
    </oc>
    <nc r="H277">
      <v>24443.9</v>
    </nc>
  </rcc>
  <rfmt sheetId="1" sqref="G277:H277">
    <dxf>
      <fill>
        <patternFill>
          <bgColor theme="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7:H208">
    <dxf>
      <fill>
        <patternFill>
          <bgColor rgb="FFFF0000"/>
        </patternFill>
      </fill>
    </dxf>
  </rfmt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67:H469">
    <dxf>
      <numFmt numFmtId="168" formatCode="#,##0.00000"/>
    </dxf>
  </rfmt>
  <rfmt sheetId="1" sqref="G464:H464">
    <dxf>
      <numFmt numFmtId="168" formatCode="#,##0.00000"/>
    </dxf>
  </rfmt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3" sId="1">
    <oc r="G167">
      <f>104336+3373.5</f>
    </oc>
    <nc r="G167">
      <f>123000.9+3925.6</f>
    </nc>
  </rcc>
  <rcc rId="5434" sId="1">
    <oc r="H167">
      <f>104336+3373.5</f>
    </oc>
    <nc r="H167">
      <f>123000.9+3925.6</f>
    </nc>
  </rcc>
  <rcc rId="5435" sId="1">
    <nc r="G207">
      <f>5812.2+179.8</f>
    </nc>
  </rcc>
  <rcc rId="5436" sId="1">
    <nc r="H207">
      <f>5812.2+179.8</f>
    </nc>
  </rcc>
  <rcc rId="5437" sId="1">
    <nc r="G208">
      <f>10669.6+340.5</f>
    </nc>
  </rcc>
  <rcc rId="5438" sId="1">
    <nc r="H208">
      <f>10669.6+340.5</f>
    </nc>
  </rcc>
  <rfmt sheetId="1" sqref="G207:H208">
    <dxf>
      <fill>
        <patternFill>
          <bgColor theme="0"/>
        </patternFill>
      </fill>
    </dxf>
  </rfmt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9" sId="1">
    <oc r="G201">
      <f>100+72.7</f>
    </oc>
    <nc r="G201">
      <f>8525.8+100+72.7</f>
    </nc>
  </rcc>
  <rcc rId="5440" sId="1">
    <oc r="H201">
      <f>100+72.7</f>
    </oc>
    <nc r="H201">
      <f>8525.8+100+72.7</f>
    </nc>
  </rcc>
  <rcc rId="5441" sId="1">
    <oc r="G202">
      <f>777.6+37.1</f>
    </oc>
    <nc r="G202">
      <f>15665.9+777.6+37.1</f>
    </nc>
  </rcc>
  <rcc rId="5442" sId="1">
    <oc r="H202">
      <f>777.6+37.1</f>
    </oc>
    <nc r="H202">
      <f>15665.9+777.6+37.1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3" sId="1">
    <oc r="G165">
      <f>26093.8+904.7</f>
    </oc>
    <nc r="G165">
      <f>26093.8+904.7+15000</f>
    </nc>
  </rcc>
  <rcc rId="5444" sId="1">
    <oc r="H165">
      <f>26093.8+904.7</f>
    </oc>
    <nc r="H165">
      <f>26093.8+904.7+15000</f>
    </nc>
  </rcc>
  <rcc rId="5445" sId="1">
    <oc r="G179">
      <f>62629.8+4758.7</f>
    </oc>
    <nc r="G179">
      <f>62629.8+4758.7+30000</f>
    </nc>
  </rcc>
  <rcc rId="5446" sId="1">
    <oc r="H179">
      <f>62629.8+4758.7</f>
    </oc>
    <nc r="H179">
      <f>62629.8+4758.7+30000</f>
    </nc>
  </rcc>
  <rcc rId="5447" sId="1" numFmtId="4">
    <oc r="G243">
      <v>15.5</v>
    </oc>
    <nc r="G243">
      <f>15.5+5000</f>
    </nc>
  </rcc>
  <rcc rId="5448" sId="1" numFmtId="4">
    <oc r="H243">
      <v>15.5</v>
    </oc>
    <nc r="H243">
      <f>15.5+5000</f>
    </nc>
  </rcc>
  <rcc rId="5449" sId="1" numFmtId="4">
    <oc r="G241">
      <v>0</v>
    </oc>
    <nc r="G241">
      <v>1969.3</v>
    </nc>
  </rcc>
  <rcc rId="5450" sId="1" numFmtId="4">
    <oc r="G242">
      <v>0</v>
    </oc>
    <nc r="G242">
      <v>594.70000000000005</v>
    </nc>
  </rcc>
  <rcc rId="5451" sId="1" numFmtId="4">
    <oc r="H241">
      <v>0</v>
    </oc>
    <nc r="H241">
      <v>1969.3</v>
    </nc>
  </rcc>
  <rcc rId="5452" sId="1" numFmtId="4">
    <oc r="H242">
      <v>0</v>
    </oc>
    <nc r="H242">
      <v>594.70000000000005</v>
    </nc>
  </rcc>
  <rcc rId="5453" sId="1" numFmtId="4">
    <oc r="G453">
      <v>500</v>
    </oc>
    <nc r="G453">
      <v>750</v>
    </nc>
  </rcc>
  <rcc rId="5454" sId="1" numFmtId="4">
    <oc r="H453">
      <v>500</v>
    </oc>
    <nc r="H453">
      <v>750</v>
    </nc>
  </rcc>
  <rcc rId="5455" sId="1" numFmtId="4">
    <oc r="G380">
      <v>500</v>
    </oc>
    <nc r="G380">
      <v>1000</v>
    </nc>
  </rcc>
  <rcc rId="5456" sId="1" numFmtId="4">
    <oc r="H380">
      <v>500</v>
    </oc>
    <nc r="H380">
      <v>1000</v>
    </nc>
  </rcc>
  <rcc rId="5457" sId="1" numFmtId="4">
    <oc r="G364">
      <v>100</v>
    </oc>
    <nc r="G364">
      <f>100+3</f>
    </nc>
  </rcc>
  <rcc rId="5458" sId="1" numFmtId="4">
    <oc r="H364">
      <v>100</v>
    </oc>
    <nc r="H364">
      <f>100+3</f>
    </nc>
  </rcc>
  <rcc rId="5459" sId="1">
    <oc r="G368">
      <f>1674.6</f>
    </oc>
    <nc r="G368">
      <f>1674.6+1000</f>
    </nc>
  </rcc>
  <rcc rId="5460" sId="1">
    <oc r="H368">
      <f>1674.6</f>
    </oc>
    <nc r="H368">
      <f>1674.6+1000</f>
    </nc>
  </rcc>
  <rrc rId="5461" sId="1" ref="A346:XFD346" action="insertRow"/>
  <rcc rId="5462" sId="1">
    <nc r="B346" t="inlineStr">
      <is>
        <t>973</t>
      </is>
    </nc>
  </rcc>
  <rcc rId="5463" sId="1">
    <nc r="C346" t="inlineStr">
      <is>
        <t>08</t>
      </is>
    </nc>
  </rcc>
  <rcc rId="5464" sId="1">
    <nc r="D346" t="inlineStr">
      <is>
        <t>04</t>
      </is>
    </nc>
  </rcc>
  <rcc rId="5465" sId="1">
    <nc r="E346" t="inlineStr">
      <is>
        <t>08402 83160</t>
      </is>
    </nc>
  </rcc>
  <rrc rId="5466" sId="1" ref="A346:XFD346" action="insertRow"/>
  <rcc rId="5467" sId="1">
    <nc r="B346" t="inlineStr">
      <is>
        <t>973</t>
      </is>
    </nc>
  </rcc>
  <rcc rId="5468" sId="1">
    <nc r="C346" t="inlineStr">
      <is>
        <t>08</t>
      </is>
    </nc>
  </rcc>
  <rcc rId="5469" sId="1">
    <nc r="D346" t="inlineStr">
      <is>
        <t>04</t>
      </is>
    </nc>
  </rcc>
  <rcc rId="5470" sId="1">
    <nc r="E346" t="inlineStr">
      <is>
        <t>08402 83160</t>
      </is>
    </nc>
  </rcc>
  <rcc rId="5471" sId="1">
    <nc r="F346" t="inlineStr">
      <is>
        <t>242</t>
      </is>
    </nc>
  </rcc>
  <rcc rId="5472" sId="1">
    <nc r="F347" t="inlineStr">
      <is>
        <t>244</t>
      </is>
    </nc>
  </rcc>
  <rcc rId="5473" sId="1">
    <nc r="A347" t="inlineStr">
      <is>
        <t>Прочая закупка товаров, работ и услуг для обеспечения государственных (муниципальных) нужд</t>
      </is>
    </nc>
  </rcc>
  <rcc rId="5474" sId="1" numFmtId="4">
    <nc r="G346">
      <v>250</v>
    </nc>
  </rcc>
  <rcc rId="5475" sId="1" numFmtId="4">
    <nc r="H346">
      <v>250</v>
    </nc>
  </rcc>
  <rcc rId="5476" sId="1" numFmtId="4">
    <nc r="G347">
      <v>1500</v>
    </nc>
  </rcc>
  <rcc rId="5477" sId="1" numFmtId="4">
    <nc r="H347">
      <v>1500</v>
    </nc>
  </rcc>
  <rcc rId="5478" sId="1">
    <oc r="G343">
      <f>SUM(G344:G348)</f>
    </oc>
    <nc r="G343">
      <f>SUM(G344:G348)</f>
    </nc>
  </rcc>
  <rcc rId="5479" sId="1" numFmtId="4">
    <oc r="G332">
      <v>500</v>
    </oc>
    <nc r="G332">
      <v>1000</v>
    </nc>
  </rcc>
  <rcc rId="5480" sId="1" numFmtId="4">
    <oc r="H332">
      <v>500</v>
    </oc>
    <nc r="H332">
      <v>1000</v>
    </nc>
  </rcc>
  <rcc rId="5481" sId="1" numFmtId="4">
    <oc r="G326">
      <v>21670.6</v>
    </oc>
    <nc r="G326">
      <f>21670.6+1700</f>
    </nc>
  </rcc>
  <rcc rId="5482" sId="1" numFmtId="4">
    <oc r="H326">
      <v>21670.6</v>
    </oc>
    <nc r="H326">
      <f>21670.6+1700</f>
    </nc>
  </rcc>
  <rcc rId="5483" sId="1" numFmtId="4">
    <oc r="G320">
      <v>13032.1</v>
    </oc>
    <nc r="G320">
      <f>13032.1+500+1000</f>
    </nc>
  </rcc>
  <rcc rId="5484" sId="1" numFmtId="4">
    <oc r="H320">
      <v>13032.1</v>
    </oc>
    <nc r="H320">
      <f>13032.1+500+1000</f>
    </nc>
  </rcc>
  <rcc rId="5485" sId="1" numFmtId="4">
    <oc r="G311">
      <v>15442.2</v>
    </oc>
    <nc r="G311">
      <f>15442.2+1500+1000</f>
    </nc>
  </rcc>
  <rcc rId="5486" sId="1" numFmtId="4">
    <oc r="H311">
      <v>15442.2</v>
    </oc>
    <nc r="H311">
      <f>15442.2+1500+1000</f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oc r="G291">
      <v>500</v>
    </oc>
    <nc r="G291">
      <v>800</v>
    </nc>
  </rcc>
  <rcc rId="5488" sId="1" numFmtId="4">
    <oc r="H291">
      <v>500</v>
    </oc>
    <nc r="H291">
      <v>800</v>
    </nc>
  </rcc>
  <rrc rId="5489" sId="1" ref="A271:XFD271" action="insertRow"/>
  <rrc rId="5490" sId="1" ref="A271:XFD271" action="insertRow"/>
  <rcc rId="5491" sId="1" numFmtId="30">
    <nc r="B271">
      <v>970</v>
    </nc>
  </rcc>
  <rcc rId="5492" sId="1">
    <nc r="C271" t="inlineStr">
      <is>
        <t>01</t>
      </is>
    </nc>
  </rcc>
  <rcc rId="5493" sId="1">
    <nc r="D271" t="inlineStr">
      <is>
        <t>06</t>
      </is>
    </nc>
  </rcc>
  <rcc rId="5494" sId="1">
    <nc r="E271" t="inlineStr">
      <is>
        <t>02101 81020</t>
      </is>
    </nc>
  </rcc>
  <rcc rId="5495" sId="1" numFmtId="30">
    <nc r="B272">
      <v>970</v>
    </nc>
  </rcc>
  <rcc rId="5496" sId="1">
    <nc r="C272" t="inlineStr">
      <is>
        <t>01</t>
      </is>
    </nc>
  </rcc>
  <rcc rId="5497" sId="1">
    <nc r="D272" t="inlineStr">
      <is>
        <t>06</t>
      </is>
    </nc>
  </rcc>
  <rcc rId="5498" sId="1">
    <nc r="E272" t="inlineStr">
      <is>
        <t>02101 81020</t>
      </is>
    </nc>
  </rcc>
  <rcc rId="5499" sId="1">
    <nc r="F271" t="inlineStr">
      <is>
        <t>242</t>
      </is>
    </nc>
  </rcc>
  <rcc rId="5500" sId="1">
    <nc r="F272" t="inlineStr">
      <is>
        <t>244</t>
      </is>
    </nc>
  </rcc>
  <rcc rId="5501" sId="1" numFmtId="4">
    <nc r="G271">
      <v>1600</v>
    </nc>
  </rcc>
  <rcc rId="5502" sId="1" numFmtId="4">
    <nc r="H271">
      <v>1600</v>
    </nc>
  </rcc>
  <rcc rId="5503" sId="1" numFmtId="4">
    <nc r="G272">
      <v>500</v>
    </nc>
  </rcc>
  <rcc rId="5504" sId="1" numFmtId="4">
    <nc r="H272">
      <v>500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5" sId="1">
    <oc r="G268">
      <f>SUM(G269:G270)</f>
    </oc>
    <nc r="G268">
      <f>SUM(G269:G272)</f>
    </nc>
  </rcc>
  <rcc rId="5506" sId="1">
    <oc r="H268">
      <f>SUM(H269:H270)</f>
    </oc>
    <nc r="H268">
      <f>SUM(H269:H272)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7" sId="1">
    <nc r="A272" t="inlineStr">
      <is>
        <t>Прочие закупки товаров, работ и услуг для государственных (муниципальных) нужд</t>
      </is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243:XFD243" action="insertRow"/>
  <rcc rId="5509" sId="1" numFmtId="30">
    <nc r="B243">
      <v>969</v>
    </nc>
  </rcc>
  <rcc rId="5510" sId="1">
    <nc r="C243" t="inlineStr">
      <is>
        <t>07</t>
      </is>
    </nc>
  </rcc>
  <rcc rId="5511" sId="1">
    <nc r="D243" t="inlineStr">
      <is>
        <t>09</t>
      </is>
    </nc>
  </rcc>
  <rcc rId="5512" sId="1">
    <nc r="E243" t="inlineStr">
      <is>
        <t>10501 83040</t>
      </is>
    </nc>
  </rcc>
  <rcc rId="5513" sId="1">
    <nc r="F243" t="inlineStr">
      <is>
        <t>242</t>
      </is>
    </nc>
  </rcc>
  <rcc rId="5514" sId="1" numFmtId="4">
    <nc r="G243">
      <v>1500</v>
    </nc>
  </rcc>
  <rcc rId="5515" sId="1" numFmtId="4">
    <nc r="H243">
      <v>1500</v>
    </nc>
  </rcc>
  <rfmt sheetId="1" sqref="A243">
    <dxf>
      <fill>
        <patternFill>
          <bgColor rgb="FFFFFF00"/>
        </patternFill>
      </fill>
    </dxf>
  </rfmt>
  <rfmt sheetId="1" sqref="A272">
    <dxf>
      <fill>
        <patternFill>
          <bgColor rgb="FFFFFF00"/>
        </patternFill>
      </fill>
    </dxf>
  </rfmt>
  <rcc rId="5516" sId="1" xfDxf="1" dxf="1">
    <nc r="A272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7" sId="1" xfDxf="1" dxf="1">
    <nc r="A243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8" sId="1" xfDxf="1" dxf="1">
    <nc r="A349" t="inlineStr">
      <is>
        <t>Закупка товаров, работ, услуг в сфере информационно-коммуникационных технологий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72">
    <dxf>
      <fill>
        <patternFill>
          <bgColor theme="0"/>
        </patternFill>
      </fill>
    </dxf>
  </rfmt>
  <rfmt sheetId="1" sqref="A243">
    <dxf>
      <fill>
        <patternFill>
          <bgColor theme="0"/>
        </patternFill>
      </fill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23" sId="1" ref="A409:XFD410" action="insertRow"/>
  <rcc rId="5524" sId="1" odxf="1" dxf="1">
    <nc r="A409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5" sId="1">
    <nc r="F409" t="inlineStr">
      <is>
        <t>242</t>
      </is>
    </nc>
  </rcc>
  <rcc rId="5526" sId="1" numFmtId="4">
    <nc r="G409">
      <v>250</v>
    </nc>
  </rcc>
  <rcc rId="5527" sId="1" numFmtId="4">
    <nc r="H409">
      <v>250</v>
    </nc>
  </rcc>
  <rcc rId="5528" sId="1" odxf="1" dxf="1">
    <nc r="A41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9" sId="1">
    <nc r="F410" t="inlineStr">
      <is>
        <t>244</t>
      </is>
    </nc>
  </rcc>
  <rcc rId="5530" sId="1" numFmtId="4">
    <nc r="G410">
      <v>1500</v>
    </nc>
  </rcc>
  <rcc rId="5531" sId="1" numFmtId="4">
    <nc r="H410">
      <v>1500</v>
    </nc>
  </rcc>
  <rcc rId="5532" sId="1">
    <nc r="B409" t="inlineStr">
      <is>
        <t>975</t>
      </is>
    </nc>
  </rcc>
  <rcc rId="5533" sId="1">
    <nc r="C409" t="inlineStr">
      <is>
        <t>11</t>
      </is>
    </nc>
  </rcc>
  <rcc rId="5534" sId="1">
    <nc r="D409" t="inlineStr">
      <is>
        <t>05</t>
      </is>
    </nc>
  </rcc>
  <rcc rId="5535" sId="1">
    <nc r="E409" t="inlineStr">
      <is>
        <t>09401 83170</t>
      </is>
    </nc>
  </rcc>
  <rcc rId="5536" sId="1">
    <nc r="B410" t="inlineStr">
      <is>
        <t>975</t>
      </is>
    </nc>
  </rcc>
  <rcc rId="5537" sId="1">
    <nc r="C410" t="inlineStr">
      <is>
        <t>11</t>
      </is>
    </nc>
  </rcc>
  <rcc rId="5538" sId="1">
    <nc r="D410" t="inlineStr">
      <is>
        <t>05</t>
      </is>
    </nc>
  </rcc>
  <rcc rId="5539" sId="1">
    <nc r="E410" t="inlineStr">
      <is>
        <t>09401 83170</t>
      </is>
    </nc>
  </rcc>
  <rcc rId="5540" sId="1">
    <oc r="G406">
      <f>SUM(G407:G411)</f>
    </oc>
    <nc r="G406">
      <f>SUM(G407:G411)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92:XFD294" action="insertRow"/>
  <rcc rId="5542" sId="1" odxf="1" dxf="1">
    <nc r="A292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5543" sId="1" odxf="1" dxf="1">
    <nc r="B29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4" sId="1" odxf="1" dxf="1">
    <nc r="C292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5" sId="1" odxf="1" dxf="1">
    <nc r="D292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6" sId="1" odxf="1" dxf="1">
    <nc r="E292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2" start="0" length="0">
    <dxf>
      <font>
        <b/>
        <name val="Times New Roman"/>
        <family val="1"/>
      </font>
    </dxf>
  </rfmt>
  <rcc rId="5547" sId="1" odxf="1" dxf="1">
    <nc r="G292">
      <f>SUM(G293:G294)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29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2" start="0" length="0">
    <dxf>
      <font>
        <i val="0"/>
        <name val="Times New Roman CYR"/>
        <family val="1"/>
      </font>
    </dxf>
  </rfmt>
  <rfmt sheetId="1" sqref="J292" start="0" length="0">
    <dxf>
      <font>
        <i val="0"/>
        <name val="Times New Roman CYR"/>
        <family val="1"/>
      </font>
    </dxf>
  </rfmt>
  <rfmt sheetId="1" sqref="K292" start="0" length="0">
    <dxf>
      <font>
        <i val="0"/>
        <name val="Times New Roman CYR"/>
        <family val="1"/>
      </font>
    </dxf>
  </rfmt>
  <rfmt sheetId="1" sqref="L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5548" sId="1">
    <nc r="A293" t="inlineStr">
      <is>
        <t>Закупка товаров, работ и услуг в сфере информационно-коммуникационных технологий</t>
      </is>
    </nc>
  </rcc>
  <rcc rId="5549" sId="1">
    <nc r="B293" t="inlineStr">
      <is>
        <t>971</t>
      </is>
    </nc>
  </rcc>
  <rcc rId="5550" sId="1">
    <nc r="C293" t="inlineStr">
      <is>
        <t>01</t>
      </is>
    </nc>
  </rcc>
  <rcc rId="5551" sId="1">
    <nc r="D293" t="inlineStr">
      <is>
        <t>13</t>
      </is>
    </nc>
  </rcc>
  <rcc rId="5552" sId="1">
    <nc r="E293" t="inlineStr">
      <is>
        <t>04102 82150</t>
      </is>
    </nc>
  </rcc>
  <rcc rId="5553" sId="1">
    <nc r="F293" t="inlineStr">
      <is>
        <t>242</t>
      </is>
    </nc>
  </rcc>
  <rfmt sheetId="1" sqref="H29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3" start="0" length="0">
    <dxf>
      <font>
        <i val="0"/>
        <name val="Times New Roman CYR"/>
        <family val="1"/>
      </font>
    </dxf>
  </rfmt>
  <rfmt sheetId="1" sqref="J293" start="0" length="0">
    <dxf>
      <font>
        <i val="0"/>
        <name val="Times New Roman CYR"/>
        <family val="1"/>
      </font>
    </dxf>
  </rfmt>
  <rfmt sheetId="1" sqref="K293" start="0" length="0">
    <dxf>
      <font>
        <i val="0"/>
        <name val="Times New Roman CYR"/>
        <family val="1"/>
      </font>
    </dxf>
  </rfmt>
  <rfmt sheetId="1" sqref="L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cc rId="5554" sId="1">
    <nc r="A294" t="inlineStr">
      <is>
        <t>Прочие закупки товаров, работ и услуг для государственных (муниципальных) нужд</t>
      </is>
    </nc>
  </rcc>
  <rcc rId="5555" sId="1">
    <nc r="B294" t="inlineStr">
      <is>
        <t>971</t>
      </is>
    </nc>
  </rcc>
  <rcc rId="5556" sId="1">
    <nc r="C294" t="inlineStr">
      <is>
        <t>01</t>
      </is>
    </nc>
  </rcc>
  <rcc rId="5557" sId="1">
    <nc r="D294" t="inlineStr">
      <is>
        <t>13</t>
      </is>
    </nc>
  </rcc>
  <rcc rId="5558" sId="1">
    <nc r="E294" t="inlineStr">
      <is>
        <t>04102 82150</t>
      </is>
    </nc>
  </rcc>
  <rcc rId="5559" sId="1">
    <nc r="F294" t="inlineStr">
      <is>
        <t>244</t>
      </is>
    </nc>
  </rcc>
  <rfmt sheetId="1" sqref="H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4" start="0" length="0">
    <dxf>
      <font>
        <i val="0"/>
        <name val="Times New Roman CYR"/>
        <family val="1"/>
      </font>
    </dxf>
  </rfmt>
  <rfmt sheetId="1" sqref="J294" start="0" length="0">
    <dxf>
      <font>
        <i val="0"/>
        <name val="Times New Roman CYR"/>
        <family val="1"/>
      </font>
    </dxf>
  </rfmt>
  <rfmt sheetId="1" sqref="K294" start="0" length="0">
    <dxf>
      <font>
        <i val="0"/>
        <name val="Times New Roman CYR"/>
        <family val="1"/>
      </font>
    </dxf>
  </rfmt>
  <rfmt sheetId="1" sqref="L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5560" sId="1" odxf="1" dxf="1">
    <nc r="H292">
      <f>SUM(H293:H294)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293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561" sId="1">
    <oc r="G289">
      <f>SUM(G290:G291)</f>
    </oc>
    <nc r="G289">
      <f>SUM(G290:G291)</f>
    </nc>
  </rcc>
  <rcc rId="5562" sId="1">
    <oc r="G287">
      <f>G288+G295</f>
    </oc>
    <nc r="G287">
      <f>G288+G295</f>
    </nc>
  </rcc>
  <rcc rId="5563" sId="1">
    <oc r="G288">
      <f>G289</f>
    </oc>
    <nc r="G288">
      <f>G289+G292</f>
    </nc>
  </rcc>
  <rcc rId="5564" sId="1">
    <oc r="H288">
      <f>H289</f>
    </oc>
    <nc r="H288">
      <f>H289+H292</f>
    </nc>
  </rcc>
  <rcc rId="5565" sId="1" numFmtId="4">
    <nc r="G293">
      <v>250</v>
    </nc>
  </rcc>
  <rcc rId="5566" sId="1" numFmtId="4">
    <nc r="H293">
      <v>250</v>
    </nc>
  </rcc>
  <rcc rId="5567" sId="1" numFmtId="4">
    <nc r="G294">
      <v>100</v>
    </nc>
  </rcc>
  <rcc rId="5568" sId="1" numFmtId="4">
    <nc r="H294">
      <v>100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9" sId="1" numFmtId="4">
    <oc r="G111">
      <v>100000</v>
    </oc>
    <nc r="G111">
      <f>100000+3000</f>
    </nc>
  </rcc>
  <rcc rId="5570" sId="1" numFmtId="4">
    <oc r="H111">
      <v>100000</v>
    </oc>
    <nc r="H111">
      <f>100000+3000</f>
    </nc>
  </rcc>
  <rcc rId="5571" sId="1">
    <oc r="G307">
      <f>17764.6-44.16</f>
    </oc>
    <nc r="G307">
      <f>17764.6-44.16-3000</f>
    </nc>
  </rcc>
  <rcc rId="5572" sId="1">
    <oc r="H307">
      <f>17766.6-44.16</f>
    </oc>
    <nc r="H307">
      <f>17764.6-44.16-3000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73" sId="1" ref="A96:XFD96" action="insertRow"/>
  <rfmt sheetId="1" sqref="A96" start="0" length="0">
    <dxf>
      <fill>
        <patternFill patternType="none"/>
      </fill>
    </dxf>
  </rfmt>
  <rcc rId="5574" sId="1" numFmtId="30">
    <nc r="B96">
      <v>968</v>
    </nc>
  </rcc>
  <rcc rId="5575" sId="1">
    <nc r="C96" t="inlineStr">
      <is>
        <t>01</t>
      </is>
    </nc>
  </rcc>
  <rcc rId="5576" sId="1">
    <nc r="D96" t="inlineStr">
      <is>
        <t>13</t>
      </is>
    </nc>
  </rcc>
  <rcc rId="5577" sId="1">
    <nc r="E96" t="inlineStr">
      <is>
        <t>99900 83590</t>
      </is>
    </nc>
  </rcc>
  <rcc rId="5578" sId="1">
    <nc r="F96" t="inlineStr">
      <is>
        <t>242</t>
      </is>
    </nc>
  </rcc>
  <rcc rId="5579" sId="1" odxf="1" dxf="1">
    <nc r="A96" t="inlineStr">
      <is>
        <t>Закупка товаров, работ, услуг в сфере информационно-коммуникационных технологий</t>
      </is>
    </nc>
    <ndxf>
      <fill>
        <patternFill patternType="solid">
          <bgColor theme="0"/>
        </patternFill>
      </fill>
    </ndxf>
  </rcc>
  <rcc rId="5580" sId="1" numFmtId="4">
    <nc r="G96">
      <v>1100</v>
    </nc>
  </rcc>
  <rcc rId="5581" sId="1" numFmtId="4">
    <nc r="H96">
      <v>1100</v>
    </nc>
  </rcc>
  <rcc rId="5582" sId="1" numFmtId="4">
    <oc r="G97">
      <v>92.7</v>
    </oc>
    <nc r="G97">
      <v>14900</v>
    </nc>
  </rcc>
  <rcc rId="5583" sId="1" numFmtId="4">
    <oc r="H97">
      <v>92.7</v>
    </oc>
    <nc r="H97">
      <v>14900</v>
    </nc>
  </rcc>
  <rcc rId="5584" sId="1">
    <oc r="G93">
      <f>SUM(G94:G99)</f>
    </oc>
    <nc r="G93">
      <f>SUM(G94:G99)</f>
    </nc>
  </rcc>
  <rrc rId="5585" sId="1" ref="A23:XFD24" action="insertRow"/>
  <rcc rId="5586" sId="1" numFmtId="30">
    <nc r="B23">
      <v>845</v>
    </nc>
  </rcc>
  <rcc rId="5587" sId="1">
    <nc r="C23" t="inlineStr">
      <is>
        <t>01</t>
      </is>
    </nc>
  </rcc>
  <rcc rId="5588" sId="1">
    <nc r="D23" t="inlineStr">
      <is>
        <t>03</t>
      </is>
    </nc>
  </rcc>
  <rcc rId="5589" sId="1">
    <nc r="E23" t="inlineStr">
      <is>
        <t>99900 81020</t>
      </is>
    </nc>
  </rcc>
  <rcc rId="5590" sId="1" numFmtId="30">
    <nc r="B24">
      <v>845</v>
    </nc>
  </rcc>
  <rcc rId="5591" sId="1">
    <nc r="C24" t="inlineStr">
      <is>
        <t>01</t>
      </is>
    </nc>
  </rcc>
  <rcc rId="5592" sId="1">
    <nc r="D24" t="inlineStr">
      <is>
        <t>03</t>
      </is>
    </nc>
  </rcc>
  <rcc rId="5593" sId="1">
    <nc r="E24" t="inlineStr">
      <is>
        <t>99900 81020</t>
      </is>
    </nc>
  </rcc>
  <rcc rId="5594" sId="1">
    <nc r="F23" t="inlineStr">
      <is>
        <t>242</t>
      </is>
    </nc>
  </rcc>
  <rcc rId="5595" sId="1">
    <nc r="F24" t="inlineStr">
      <is>
        <t>244</t>
      </is>
    </nc>
  </rcc>
  <rcc rId="5596" sId="1" odxf="1" dxf="1">
    <nc r="A23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5597" sId="1" odxf="1" dxf="1">
    <nc r="A2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5598" sId="1" numFmtId="4">
    <nc r="G23">
      <v>35</v>
    </nc>
  </rcc>
  <rcc rId="5599" sId="1" numFmtId="4">
    <nc r="H23">
      <v>35</v>
    </nc>
  </rcc>
  <rcc rId="5600" sId="1" numFmtId="4">
    <nc r="G24">
      <v>500</v>
    </nc>
  </rcc>
  <rcc rId="5601" sId="1" numFmtId="4">
    <nc r="H24">
      <v>500</v>
    </nc>
  </rcc>
  <rcc rId="5602" sId="1">
    <oc r="G20">
      <f>SUM(G21:G22)</f>
    </oc>
    <nc r="G20">
      <f>SUM(G21:G24)</f>
    </nc>
  </rcc>
  <rcc rId="5603" sId="1">
    <oc r="H20">
      <f>SUM(H21:H22)</f>
    </oc>
    <nc r="H20">
      <f>SUM(H21:H24)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4" sId="1">
    <oc r="G168">
      <f>26093.8+904.7+15000</f>
    </oc>
    <nc r="G168">
      <f>26093.8+904.7+15000+10000</f>
    </nc>
  </rcc>
  <rcc rId="5605" sId="1">
    <oc r="H168">
      <f>26093.8+904.7+15000</f>
    </oc>
    <nc r="H168">
      <f>26093.8+904.7+15000+10000</f>
    </nc>
  </rcc>
  <rcc rId="5606" sId="1">
    <oc r="G182">
      <f>62629.8+4758.7+30000</f>
    </oc>
    <nc r="G182">
      <f>62629.8+4758.7+30000+15000</f>
    </nc>
  </rcc>
  <rcc rId="5607" sId="1" numFmtId="4">
    <oc r="G416">
      <v>1500</v>
    </oc>
    <nc r="G416">
      <f>1500+500</f>
    </nc>
  </rcc>
  <rcc rId="5608" sId="1" numFmtId="4">
    <oc r="H416">
      <v>1500</v>
    </oc>
    <nc r="H416">
      <f>1500+500</f>
    </nc>
  </rcc>
  <rcc rId="5609" sId="1" numFmtId="4">
    <oc r="G356">
      <v>1500</v>
    </oc>
    <nc r="G356">
      <f>1500+500</f>
    </nc>
  </rcc>
  <rcc rId="5610" sId="1" numFmtId="4">
    <oc r="H356">
      <v>1500</v>
    </oc>
    <nc r="H356">
      <f>1500+500</f>
    </nc>
  </rcc>
  <rcc rId="5611" sId="1">
    <oc r="G247">
      <f>15.5+5000</f>
    </oc>
    <nc r="G247">
      <f>15.5+5000+1500</f>
    </nc>
  </rcc>
  <rcc rId="5612" sId="1">
    <oc r="H247">
      <f>15.5+5000</f>
    </oc>
    <nc r="H247">
      <f>15.5+5000+1500</f>
    </nc>
  </rcc>
  <rcc rId="5613" sId="1" numFmtId="4">
    <oc r="G99">
      <v>14900</v>
    </oc>
    <nc r="G99">
      <f>14900+2129.735</f>
    </nc>
  </rcc>
  <rcc rId="5614" sId="1">
    <oc r="H182">
      <f>62629.8+4758.7+30000</f>
    </oc>
    <nc r="H182">
      <f>62629.8+4758.7+30000+13421.405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34:H434" start="0" length="2147483647">
    <dxf>
      <font>
        <i val="0"/>
      </font>
    </dxf>
  </rfmt>
  <rfmt sheetId="1" sqref="A470:H470" start="0" length="2147483647">
    <dxf>
      <font>
        <i val="0"/>
      </font>
    </dxf>
  </rfmt>
  <rfmt sheetId="1" sqref="A470:H470" start="0" length="2147483647">
    <dxf>
      <font>
        <i/>
      </font>
    </dxf>
  </rfmt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5" sId="1">
    <oc r="G14">
      <v>2025</v>
    </oc>
    <nc r="G14">
      <v>2026</v>
    </nc>
  </rcc>
  <rcc rId="5616" sId="1">
    <oc r="H14">
      <v>2026</v>
    </oc>
    <nc r="H14">
      <v>2027</v>
    </nc>
  </rcc>
  <rcc rId="5617" sId="1" xfDxf="1" dxf="1">
    <oc r="A175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175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79" start="0" length="0">
    <dxf>
      <font>
        <sz val="12"/>
        <color rgb="FF000000"/>
        <name val="Times New Roman"/>
        <family val="1"/>
      </font>
    </dxf>
  </rfmt>
  <rfmt sheetId="1" sqref="A179" start="0" length="0">
    <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6:H196" start="0" length="2147483647">
    <dxf>
      <font>
        <i/>
      </font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2" sId="1">
    <oc r="G160">
      <f>G161+G167+G163+G165</f>
    </oc>
    <nc r="G160">
      <f>G161+G167+G163+G165+G169</f>
    </nc>
  </rcc>
  <rcc rId="5623" sId="1">
    <oc r="H160">
      <f>H161+H167+H163+H165</f>
    </oc>
    <nc r="H160">
      <f>H161+H167+H163+H165+H169</f>
    </nc>
  </rcc>
  <rcc rId="5624" sId="1">
    <oc r="G168">
      <f>26093.8+904.7+15000+10000</f>
    </oc>
    <nc r="G168">
      <f>26093.8</f>
    </nc>
  </rcc>
  <rcc rId="5625" sId="1">
    <oc r="H168">
      <f>26093.8+904.7+15000+10000</f>
    </oc>
    <nc r="H168">
      <f>26093.8</f>
    </nc>
  </rcc>
  <rcc rId="5626" sId="1">
    <oc r="G182">
      <f>62629.8+4758.7+30000+15000</f>
    </oc>
    <nc r="G182">
      <f>62629.8</f>
    </nc>
  </rcc>
  <rcc rId="5627" sId="1">
    <oc r="H182">
      <f>62629.8+4758.7+30000+13421.405</f>
    </oc>
    <nc r="H182">
      <f>62629.8</f>
    </nc>
  </rcc>
  <rcc rId="5628" sId="1">
    <oc r="G204">
      <f>8525.8+100+72.7</f>
    </oc>
    <nc r="G204">
      <f>8525.8</f>
    </nc>
  </rcc>
  <rcc rId="5629" sId="1">
    <oc r="H204">
      <f>8525.8+100+72.7</f>
    </oc>
    <nc r="H204">
      <f>8525.8</f>
    </nc>
  </rcc>
  <rcc rId="5630" sId="1">
    <oc r="G205">
      <f>15665.9+777.6+37.1</f>
    </oc>
    <nc r="G205">
      <f>15665</f>
    </nc>
  </rcc>
  <rcc rId="5631" sId="1">
    <oc r="H205">
      <f>15665.9+777.6+37.1</f>
    </oc>
    <nc r="H205">
      <f>15665</f>
    </nc>
  </rcc>
  <rcc rId="5632" sId="1" numFmtId="4">
    <oc r="G246">
      <v>1500</v>
    </oc>
    <nc r="G246">
      <v>200</v>
    </nc>
  </rcc>
  <rcc rId="5633" sId="1" numFmtId="4">
    <oc r="H246">
      <v>1500</v>
    </oc>
    <nc r="H246">
      <v>200</v>
    </nc>
  </rcc>
  <rcc rId="5634" sId="1" numFmtId="4">
    <oc r="G247">
      <f>15.5+5000+1500</f>
    </oc>
    <nc r="G247">
      <v>300</v>
    </nc>
  </rcc>
  <rcc rId="5635" sId="1" numFmtId="4">
    <oc r="H247">
      <f>15.5+5000+1500</f>
    </oc>
    <nc r="H247">
      <v>300</v>
    </nc>
  </rcc>
  <rcc rId="5636" sId="1">
    <oc r="G402">
      <f>31385</f>
    </oc>
    <nc r="G402">
      <f>21385</f>
    </nc>
  </rcc>
  <rcc rId="5637" sId="1">
    <oc r="H402">
      <f>31385</f>
    </oc>
    <nc r="H402">
      <f>21385</f>
    </nc>
  </rcc>
  <rcc rId="5638" sId="1" numFmtId="4">
    <oc r="G416">
      <f>1500+500</f>
    </oc>
    <nc r="G416">
      <v>500</v>
    </nc>
  </rcc>
  <rcc rId="5639" sId="1" numFmtId="4">
    <oc r="H416">
      <f>1500+500</f>
    </oc>
    <nc r="H416">
      <v>500</v>
    </nc>
  </rcc>
  <rcc rId="5640" sId="1" numFmtId="4">
    <oc r="G391">
      <v>1000</v>
    </oc>
    <nc r="G391">
      <v>500</v>
    </nc>
  </rcc>
  <rcc rId="5641" sId="1" numFmtId="4">
    <oc r="H391">
      <v>1000</v>
    </oc>
    <nc r="H391">
      <v>500</v>
    </nc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4" sId="1" numFmtId="4">
    <oc r="G341">
      <v>1000</v>
    </oc>
    <nc r="G341">
      <v>500</v>
    </nc>
  </rcc>
  <rcc rId="5645" sId="1" numFmtId="4">
    <oc r="H341">
      <v>1000</v>
    </oc>
    <nc r="H341">
      <v>500</v>
    </nc>
  </rcc>
  <rcc rId="5646" sId="1" numFmtId="4">
    <oc r="G355">
      <v>250</v>
    </oc>
    <nc r="G355">
      <v>200</v>
    </nc>
  </rcc>
  <rcc rId="5647" sId="1" numFmtId="4">
    <oc r="H355">
      <v>250</v>
    </oc>
    <nc r="H355">
      <v>200</v>
    </nc>
  </rcc>
  <rcc rId="5648" sId="1" numFmtId="4">
    <oc r="G356">
      <f>1500+500</f>
    </oc>
    <nc r="G356">
      <v>300</v>
    </nc>
  </rcc>
  <rcc rId="5649" sId="1" numFmtId="4">
    <oc r="H356">
      <f>1500+500</f>
    </oc>
    <nc r="H356">
      <v>300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 numFmtId="4">
    <oc r="G355">
      <v>200</v>
    </oc>
    <nc r="G355">
      <v>250</v>
    </nc>
  </rcc>
  <rcc rId="5651" sId="1" numFmtId="4">
    <oc r="H355">
      <v>200</v>
    </oc>
    <nc r="H355">
      <v>250</v>
    </nc>
  </rcc>
  <rcc rId="5652" sId="1" numFmtId="4">
    <oc r="G356">
      <v>300</v>
    </oc>
    <nc r="G356">
      <v>500</v>
    </nc>
  </rcc>
  <rcc rId="5653" sId="1" numFmtId="4">
    <oc r="H356">
      <v>300</v>
    </oc>
    <nc r="H356">
      <v>500</v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4" sId="1">
    <oc r="G168">
      <f>26093.8</f>
    </oc>
    <nc r="G168">
      <f>16093.8</f>
    </nc>
  </rcc>
  <rcc rId="5655" sId="1">
    <oc r="H168">
      <f>26093.8</f>
    </oc>
    <nc r="H168">
      <f>16093.8</f>
    </nc>
  </rcc>
  <rcc rId="5656" sId="1">
    <oc r="G182">
      <f>62629.8</f>
    </oc>
    <nc r="G182">
      <f>43870.5</f>
    </nc>
  </rcc>
  <rcc rId="5657" sId="1" numFmtId="4">
    <oc r="H182">
      <f>62629.8</f>
    </oc>
    <nc r="H182">
      <v>42291.904999999999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8" sId="1" numFmtId="4">
    <oc r="G82">
      <v>923.5</v>
    </oc>
    <nc r="G82">
      <v>603.70000000000005</v>
    </nc>
  </rcc>
  <rcc rId="5659" sId="1" numFmtId="4">
    <oc r="H82">
      <v>923.5</v>
    </oc>
    <nc r="H82">
      <v>603.70000000000005</v>
    </nc>
  </rcc>
  <rcc rId="5660" sId="1" numFmtId="4">
    <nc r="G83">
      <v>5</v>
    </nc>
  </rcc>
  <rcc rId="5661" sId="1" numFmtId="4">
    <nc r="H83">
      <v>5</v>
    </nc>
  </rcc>
  <rcc rId="5662" sId="1" numFmtId="4">
    <nc r="G84">
      <v>182.3</v>
    </nc>
  </rcc>
  <rcc rId="5663" sId="1" numFmtId="4">
    <nc r="H84">
      <v>182.3</v>
    </nc>
  </rcc>
  <rcc rId="5664" sId="1" numFmtId="4">
    <nc r="G85">
      <v>36.5</v>
    </nc>
  </rcc>
  <rcc rId="5665" sId="1" numFmtId="4">
    <nc r="H85">
      <v>36.5</v>
    </nc>
  </rcc>
  <rcc rId="5666" sId="1">
    <nc r="G86">
      <f>50+46</f>
    </nc>
  </rcc>
  <rcc rId="5667" sId="1">
    <nc r="H86">
      <f>50+46</f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 numFmtId="4">
    <oc r="G141">
      <v>1884.9</v>
    </oc>
    <nc r="G141">
      <v>1393.9</v>
    </nc>
  </rcc>
  <rcc rId="5669" sId="1" numFmtId="4">
    <oc r="H141">
      <v>1884.9</v>
    </oc>
    <nc r="H141">
      <v>1393.9</v>
    </nc>
  </rcc>
  <rcc rId="5670" sId="1" numFmtId="4">
    <nc r="G142">
      <v>420.9</v>
    </nc>
  </rcc>
  <rcc rId="5671" sId="1" numFmtId="4">
    <nc r="H142">
      <v>420.9</v>
    </nc>
  </rcc>
  <rcc rId="5672" sId="1">
    <nc r="G143">
      <f>15+6</f>
    </nc>
  </rcc>
  <rcc rId="5673" sId="1">
    <nc r="H143">
      <f>15+6</f>
    </nc>
  </rcc>
  <rcc rId="5674" sId="1">
    <nc r="G144">
      <f>44.1+5</f>
    </nc>
  </rcc>
  <rcc rId="5675" sId="1">
    <nc r="H144">
      <f>44.1+5</f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6" sId="1" numFmtId="4">
    <oc r="G151">
      <v>494.8</v>
    </oc>
    <nc r="G151">
      <v>209.01599999999999</v>
    </nc>
  </rcc>
  <rcc rId="5677" sId="1" numFmtId="4">
    <oc r="H151">
      <v>494.8</v>
    </oc>
    <nc r="H151">
      <v>209.01599999999999</v>
    </nc>
  </rcc>
  <rcc rId="5678" sId="1" numFmtId="4">
    <nc r="G152">
      <v>63.124000000000002</v>
    </nc>
  </rcc>
  <rcc rId="5679" sId="1" numFmtId="4">
    <nc r="H152">
      <v>63.124000000000002</v>
    </nc>
  </rcc>
  <rcc rId="5680" sId="1" numFmtId="4">
    <nc r="G153">
      <v>148.44</v>
    </nc>
  </rcc>
  <rcc rId="5681" sId="1" numFmtId="4">
    <nc r="H153">
      <v>148.44</v>
    </nc>
  </rcc>
  <rcc rId="5682" sId="1" numFmtId="4">
    <nc r="G154">
      <v>74.22</v>
    </nc>
  </rcc>
  <rcc rId="5683" sId="1" numFmtId="4">
    <nc r="H154">
      <v>74.22</v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84" sId="1" ref="A81:XFD82" action="insertRow"/>
  <rcc rId="5685" sId="1">
    <nc r="A81" t="inlineStr">
      <is>
        <t>Закупка товаров, работ и услуг в сфере информационно-коммуникационных технологий</t>
      </is>
    </nc>
  </rcc>
  <rcc rId="5686" sId="1" numFmtId="30">
    <nc r="B81">
      <v>968</v>
    </nc>
  </rcc>
  <rcc rId="5687" sId="1">
    <nc r="C81" t="inlineStr">
      <is>
        <t>01</t>
      </is>
    </nc>
  </rcc>
  <rcc rId="5688" sId="1">
    <nc r="D81" t="inlineStr">
      <is>
        <t>13</t>
      </is>
    </nc>
  </rcc>
  <rcc rId="5689" sId="1">
    <nc r="F81" t="inlineStr">
      <is>
        <t>242</t>
      </is>
    </nc>
  </rcc>
  <rcc rId="5690" sId="1">
    <nc r="A82" t="inlineStr">
      <is>
        <t>Прочие закупки товаров, работ и услуг для государственных (муниципальных) нужд</t>
      </is>
    </nc>
  </rcc>
  <rcc rId="5691" sId="1" numFmtId="30">
    <nc r="B82">
      <v>968</v>
    </nc>
  </rcc>
  <rcc rId="5692" sId="1">
    <nc r="C82" t="inlineStr">
      <is>
        <t>01</t>
      </is>
    </nc>
  </rcc>
  <rcc rId="5693" sId="1">
    <nc r="D82" t="inlineStr">
      <is>
        <t>13</t>
      </is>
    </nc>
  </rcc>
  <rcc rId="5694" sId="1">
    <nc r="F82" t="inlineStr">
      <is>
        <t>244</t>
      </is>
    </nc>
  </rcc>
  <rcc rId="5695" sId="1">
    <nc r="E81" t="inlineStr">
      <is>
        <t>99900 73100</t>
      </is>
    </nc>
  </rcc>
  <rcc rId="5696" sId="1">
    <nc r="E82" t="inlineStr">
      <is>
        <t>99900 73100</t>
      </is>
    </nc>
  </rcc>
  <rcc rId="5697" sId="1" numFmtId="4">
    <oc r="G79">
      <v>412.2</v>
    </oc>
    <nc r="G79">
      <v>271.89999999999998</v>
    </nc>
  </rcc>
  <rcc rId="5698" sId="1" numFmtId="4">
    <oc r="H79">
      <v>412.2</v>
    </oc>
    <nc r="H79">
      <v>271.89999999999998</v>
    </nc>
  </rcc>
  <rcc rId="5699" sId="1" numFmtId="4">
    <nc r="G80">
      <v>82.1</v>
    </nc>
  </rcc>
  <rcc rId="5700" sId="1" numFmtId="4">
    <nc r="H80">
      <v>82.1</v>
    </nc>
  </rcc>
  <rcc rId="5701" sId="1" numFmtId="4">
    <nc r="G81">
      <v>18</v>
    </nc>
  </rcc>
  <rcc rId="5702" sId="1" numFmtId="4">
    <nc r="H81">
      <v>18</v>
    </nc>
  </rcc>
  <rcc rId="5703" sId="1" numFmtId="4">
    <nc r="G82">
      <v>40.200000000000003</v>
    </nc>
  </rcc>
  <rcc rId="5704" sId="1" numFmtId="4">
    <nc r="H82">
      <v>40.200000000000003</v>
    </nc>
  </rcc>
  <rcc rId="5705" sId="1">
    <oc r="G78">
      <f>SUM(G79:G80)</f>
    </oc>
    <nc r="G78">
      <f>SUM(G79:G82)</f>
    </nc>
  </rcc>
  <rcc rId="5706" sId="1">
    <oc r="H78">
      <f>SUM(H79:H80)</f>
    </oc>
    <nc r="H78">
      <f>SUM(H79:H82)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07" sId="1" numFmtId="4">
    <oc r="G148">
      <v>2513.1999999999998</v>
    </oc>
    <nc r="G148">
      <v>1732</v>
    </nc>
  </rcc>
  <rcc rId="5708" sId="1" numFmtId="4">
    <nc r="G149">
      <v>523.1</v>
    </nc>
  </rcc>
  <rcc rId="5709" sId="1" numFmtId="4">
    <nc r="G150">
      <v>183.2</v>
    </nc>
  </rcc>
  <rcc rId="5710" sId="1" numFmtId="4">
    <nc r="G151">
      <v>74.900000000000006</v>
    </nc>
  </rcc>
  <rcc rId="5711" sId="1" numFmtId="4">
    <oc r="H148">
      <v>2513.1999999999998</v>
    </oc>
    <nc r="H148">
      <v>1732</v>
    </nc>
  </rcc>
  <rcc rId="5712" sId="1" numFmtId="4">
    <nc r="H149">
      <v>523.1</v>
    </nc>
  </rcc>
  <rcc rId="5713" sId="1" numFmtId="4">
    <nc r="H150">
      <v>183.2</v>
    </nc>
  </rcc>
  <rcc rId="5714" sId="1" numFmtId="4">
    <nc r="H151">
      <v>74.900000000000006</v>
    </nc>
  </rcc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5" sId="1">
    <oc r="G116">
      <f>100000+3000</f>
    </oc>
    <nc r="G116">
      <f>100000+3092.78</f>
    </nc>
  </rcc>
  <rcc rId="5716" sId="1">
    <oc r="H116">
      <f>100000+3000</f>
    </oc>
    <nc r="H116">
      <f>100000+3092.78</f>
    </nc>
  </rcc>
  <rcc rId="5717" sId="1">
    <oc r="G312">
      <f>17764.6-44.16-3000</f>
    </oc>
    <nc r="G312">
      <f>17764.6-44.16-3092.78</f>
    </nc>
  </rcc>
  <rcc rId="5718" sId="1">
    <oc r="H312">
      <f>17764.6-44.16-3000</f>
    </oc>
    <nc r="H312">
      <f>17764.6-44.16-3092.78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9" sId="1" numFmtId="4">
    <oc r="G473">
      <v>16327.6</v>
    </oc>
    <nc r="G473">
      <v>8886.66</v>
    </nc>
  </rcc>
  <rcc rId="5720" sId="1" numFmtId="4">
    <oc r="H473">
      <v>16327.6</v>
    </oc>
    <nc r="H473">
      <v>8886.66</v>
    </nc>
  </rcc>
  <rcc rId="5721" sId="1">
    <oc r="I475">
      <f>SUM(I15:I474)</f>
    </oc>
    <nc r="I475">
      <f>SUM(I15:I474)</f>
    </nc>
  </rcc>
  <rcc rId="5722" sId="1" numFmtId="4">
    <oc r="G482">
      <v>248521.4</v>
    </oc>
    <nc r="G482">
      <v>241080.46</v>
    </nc>
  </rcc>
  <rcc rId="5723" sId="1" numFmtId="4">
    <oc r="H482">
      <v>251823.2</v>
    </oc>
    <nc r="H482">
      <v>244382.26</v>
    </nc>
  </rcc>
  <rcc rId="5724" sId="1" numFmtId="4">
    <oc r="G483">
      <v>1264413.5</v>
    </oc>
    <nc r="G483">
      <v>1127080</v>
    </nc>
  </rcc>
  <rcc rId="5725" sId="1" numFmtId="4">
    <oc r="H483">
      <v>1203919.3999999999</v>
    </oc>
    <nc r="H483">
      <v>1123185.1000000001</v>
    </nc>
  </rcc>
  <rcc rId="5726" sId="1" numFmtId="4">
    <oc r="I477">
      <v>165197.20000000001</v>
    </oc>
    <nc r="I477">
      <v>161010.9</v>
    </nc>
  </rcc>
  <rcc rId="5727" sId="1" numFmtId="4">
    <oc r="J477">
      <v>168996.7</v>
    </oc>
    <nc r="J477">
      <v>161010.9</v>
    </nc>
  </rcc>
  <rcc rId="5728" sId="1" numFmtId="4">
    <oc r="I478">
      <v>185167.2</v>
    </oc>
    <nc r="I478"/>
  </rcc>
  <rcc rId="5729" sId="1" numFmtId="4">
    <oc r="J478">
      <v>185167.2</v>
    </oc>
    <nc r="J478"/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0" sId="1">
    <nc r="K477" t="inlineStr">
      <is>
        <t>дот</t>
      </is>
    </nc>
  </rcc>
  <rcc rId="5731" sId="1">
    <nc r="K478" t="inlineStr">
      <is>
        <t>сиро</t>
      </is>
    </nc>
  </rcc>
  <rcc rId="5732" sId="1">
    <nc r="K475" t="inlineStr">
      <is>
        <t>безв</t>
      </is>
    </nc>
  </rcc>
  <rcc rId="5733" sId="1">
    <nc r="K479" t="inlineStr">
      <is>
        <t>итого</t>
      </is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4" sId="1">
    <oc r="G186">
      <f>27585.6+278.6</f>
    </oc>
    <nc r="G186">
      <f>27585.6+278.6-1524.4</f>
    </nc>
  </rcc>
  <rcc rId="5735" sId="1">
    <oc r="I186">
      <v>27585.599999999999</v>
    </oc>
    <nc r="I186">
      <v>26061.200000000001</v>
    </nc>
  </rcc>
  <rcc rId="5736" sId="1" numFmtId="4">
    <oc r="H186">
      <v>0</v>
    </oc>
    <nc r="H186">
      <v>25197.3</v>
    </nc>
  </rcc>
  <rcc rId="5737" sId="1">
    <oc r="J186">
      <v>0</v>
    </oc>
    <nc r="J186">
      <v>25197.3</v>
    </nc>
  </rcc>
  <rcc rId="5738" sId="1">
    <oc r="G200">
      <f>8319+437.8</f>
    </oc>
    <nc r="G200">
      <f>8320+437.8</f>
    </nc>
  </rcc>
  <rcc rId="5739" sId="1">
    <oc r="H200">
      <f>8319+437.8</f>
    </oc>
    <nc r="H200">
      <f>8320+437.8</f>
    </nc>
  </rcc>
  <rcc rId="5740" sId="1">
    <oc r="I200">
      <v>8319</v>
    </oc>
    <nc r="I200">
      <v>8320</v>
    </nc>
  </rcc>
  <rcc rId="5741" sId="1">
    <oc r="J200">
      <v>8319</v>
    </oc>
    <nc r="J200">
      <v>8320</v>
    </nc>
  </rcc>
  <rcc rId="5742" sId="1">
    <oc r="G116">
      <f>100000+3092.78</f>
    </oc>
    <nc r="G116">
      <f>100000+3092.78-9090.9</f>
    </nc>
  </rcc>
  <rcc rId="5743" sId="1">
    <oc r="H116">
      <f>100000+3092.78</f>
    </oc>
    <nc r="H116">
      <f>100000+3092.78+909.1</f>
    </nc>
  </rcc>
  <rcc rId="5744" sId="1">
    <oc r="I116">
      <v>100000</v>
    </oc>
    <nc r="I116">
      <v>90909.1</v>
    </nc>
  </rcc>
  <rcc rId="5745" sId="1">
    <oc r="J116">
      <v>100000</v>
    </oc>
    <nc r="J116">
      <v>100909.1</v>
    </nc>
  </rcc>
  <rcc rId="5746" sId="1">
    <oc r="G172">
      <f>123000.9+3925.6</f>
    </oc>
    <nc r="G172">
      <f>3925.6</f>
    </nc>
  </rcc>
  <rcc rId="5747" sId="1">
    <oc r="H172">
      <f>123000.9+3925.6</f>
    </oc>
    <nc r="H172">
      <f>3925.6</f>
    </nc>
  </rcc>
  <rcc rId="5748" sId="1" numFmtId="4">
    <oc r="G45">
      <v>381.8</v>
    </oc>
    <nc r="G45">
      <v>359.1</v>
    </nc>
  </rcc>
  <rcc rId="5749" sId="1">
    <oc r="I45">
      <v>381.8</v>
    </oc>
    <nc r="I45">
      <v>359.1</v>
    </nc>
  </rcc>
  <rcc rId="5750" sId="1" numFmtId="4">
    <oc r="H45">
      <v>0</v>
    </oc>
    <nc r="H45">
      <v>45.9</v>
    </nc>
  </rcc>
  <rcc rId="5751" sId="1">
    <oc r="J45">
      <v>0</v>
    </oc>
    <nc r="J45">
      <v>45.9</v>
    </nc>
  </rcc>
  <rcc rId="5752" sId="1" numFmtId="4">
    <oc r="G287">
      <v>134.1</v>
    </oc>
    <nc r="G287">
      <v>134.80000000000001</v>
    </nc>
  </rcc>
  <rcc rId="5753" sId="1" numFmtId="4">
    <oc r="H287">
      <v>139.5</v>
    </oc>
    <nc r="H287">
      <v>140.1</v>
    </nc>
  </rcc>
  <rcc rId="5754" sId="1">
    <oc r="I287">
      <v>134.1</v>
    </oc>
    <nc r="I287">
      <v>134.80000000000001</v>
    </nc>
  </rcc>
  <rcc rId="5755" sId="1">
    <oc r="J287">
      <v>139.5</v>
    </oc>
    <nc r="J287">
      <v>140.1</v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54">
      <f>34989.6+1082.2</f>
    </oc>
    <nc r="G254">
      <f>1082.2</f>
    </nc>
  </rcc>
  <rcc rId="5757" sId="1">
    <oc r="H254">
      <f>34989.6+1082.2</f>
    </oc>
    <nc r="H254">
      <f>1082.2</f>
    </nc>
  </rcc>
  <rcc rId="5758" sId="1">
    <oc r="G255">
      <f>10566.8+326.8</f>
    </oc>
    <nc r="G255">
      <f>326.8</f>
    </nc>
  </rcc>
  <rcc rId="5759" sId="1">
    <oc r="H255">
      <f>10566.8+326.8</f>
    </oc>
    <nc r="H255">
      <f>326.8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0" sId="1">
    <oc r="G212">
      <f>5812.2+179.8</f>
    </oc>
    <nc r="G212">
      <f>179.8</f>
    </nc>
  </rcc>
  <rcc rId="5761" sId="1">
    <oc r="H212">
      <f>5812.2+179.8</f>
    </oc>
    <nc r="H212">
      <f>179.8</f>
    </nc>
  </rcc>
  <rcc rId="5762" sId="1">
    <oc r="G213">
      <f>10669.6+340.5</f>
    </oc>
    <nc r="G213">
      <f>340.5</f>
    </nc>
  </rcc>
  <rcc rId="5763" sId="1">
    <oc r="H213">
      <f>10669.6+340.5</f>
    </oc>
    <nc r="H213">
      <f>340.5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4" sId="1">
    <oc r="G172">
      <f>3925.6</f>
    </oc>
    <nc r="G172">
      <f>3925.6-128.1</f>
    </nc>
  </rcc>
  <rcc rId="5765" sId="1">
    <oc r="H172">
      <f>3925.6</f>
    </oc>
    <nc r="H172">
      <f>3925.6-128.1</f>
    </nc>
  </rcc>
  <rcc rId="5766" sId="1" numFmtId="4">
    <oc r="G194">
      <v>5297.5</v>
    </oc>
    <nc r="G194">
      <v>4462.3</v>
    </nc>
  </rcc>
  <rcc rId="5767" sId="1" numFmtId="4">
    <oc r="H194">
      <v>317.8</v>
    </oc>
    <nc r="H194">
      <v>4543</v>
    </nc>
  </rcc>
  <rcc rId="5768" sId="1">
    <oc r="I194">
      <v>5297.5</v>
    </oc>
    <nc r="I194">
      <v>4462.3</v>
    </nc>
  </rcc>
  <rcc rId="5769" sId="1">
    <oc r="J194">
      <v>317.8</v>
    </oc>
    <nc r="J194">
      <v>4543</v>
    </nc>
  </rcc>
  <rcc rId="5770" sId="1" numFmtId="4">
    <oc r="G178">
      <v>31351.9</v>
    </oc>
    <nc r="G178">
      <v>62703.7</v>
    </nc>
  </rcc>
  <rcc rId="5771" sId="1">
    <oc r="I178">
      <v>31351.9</v>
    </oc>
    <nc r="I178">
      <v>62703.7</v>
    </nc>
  </rcc>
  <rcc rId="5772" sId="1" numFmtId="4">
    <oc r="H178">
      <v>0</v>
    </oc>
    <nc r="H178">
      <v>62703.7</v>
    </nc>
  </rcc>
  <rcc rId="5773" sId="1">
    <oc r="J178">
      <v>0</v>
    </oc>
    <nc r="J178">
      <v>62703.7</v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4" sId="1" ref="A185:XFD186" action="insertRow"/>
  <rfmt sheetId="1" sqref="A185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85" start="0" length="0">
    <dxf>
      <font>
        <i/>
        <name val="Times New Roman"/>
        <family val="1"/>
      </font>
    </dxf>
  </rfmt>
  <rfmt sheetId="1" sqref="C185" start="0" length="0">
    <dxf>
      <font>
        <i/>
        <name val="Times New Roman"/>
        <family val="1"/>
      </font>
    </dxf>
  </rfmt>
  <rfmt sheetId="1" sqref="D185" start="0" length="0">
    <dxf>
      <font>
        <i/>
        <name val="Times New Roman"/>
        <family val="1"/>
      </font>
    </dxf>
  </rfmt>
  <rfmt sheetId="1" sqref="E185" start="0" length="0">
    <dxf>
      <font>
        <i/>
        <name val="Times New Roman"/>
        <family val="1"/>
      </font>
    </dxf>
  </rfmt>
  <rfmt sheetId="1" sqref="F185" start="0" length="0">
    <dxf>
      <font>
        <i/>
        <name val="Times New Roman"/>
        <family val="1"/>
      </font>
    </dxf>
  </rfmt>
  <rfmt sheetId="1" sqref="G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H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A186" start="0" length="0">
    <dxf>
      <font>
        <color indexed="8"/>
        <name val="Times New Roman"/>
        <family val="1"/>
      </font>
      <fill>
        <patternFill patternType="solid"/>
      </fill>
    </dxf>
  </rfmt>
  <rcc rId="5775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776" sId="1" numFmtId="30">
    <nc r="B185" t="inlineStr">
      <is>
        <t>969</t>
      </is>
    </nc>
  </rcc>
  <rcc rId="5777" sId="1">
    <nc r="C185" t="inlineStr">
      <is>
        <t>07</t>
      </is>
    </nc>
  </rcc>
  <rcc rId="5778" sId="1">
    <nc r="D185" t="inlineStr">
      <is>
        <t>02</t>
      </is>
    </nc>
  </rcc>
  <rcc rId="5779" sId="1">
    <nc r="E185" t="inlineStr">
      <is>
        <t>10201 L0500</t>
      </is>
    </nc>
  </rcc>
  <rcc rId="5780" sId="1">
    <nc r="G185">
      <f>G186</f>
    </nc>
  </rcc>
  <rcc rId="5781" sId="1">
    <nc r="A186" t="inlineStr">
      <is>
        <t>Субсидии бюджетным учреждениям на иные цели</t>
      </is>
    </nc>
  </rcc>
  <rcc rId="5782" sId="1" numFmtId="30">
    <nc r="B186" t="inlineStr">
      <is>
        <t>969</t>
      </is>
    </nc>
  </rcc>
  <rcc rId="5783" sId="1">
    <nc r="C186" t="inlineStr">
      <is>
        <t>07</t>
      </is>
    </nc>
  </rcc>
  <rcc rId="5784" sId="1">
    <nc r="D186" t="inlineStr">
      <is>
        <t>02</t>
      </is>
    </nc>
  </rcc>
  <rcc rId="5785" sId="1">
    <nc r="E186" t="inlineStr">
      <is>
        <t>10201 L0500</t>
      </is>
    </nc>
  </rcc>
  <rcc rId="5786" sId="1">
    <nc r="F186" t="inlineStr">
      <is>
        <t>612</t>
      </is>
    </nc>
  </rcc>
  <rcc rId="5787" sId="1" odxf="1" dxf="1" numFmtId="4">
    <nc r="G186">
      <v>1750.5</v>
    </nc>
    <ndxf>
      <fill>
        <patternFill patternType="none">
          <bgColor indexed="65"/>
        </patternFill>
      </fill>
    </ndxf>
  </rcc>
  <rcc rId="5788" sId="1">
    <nc r="H185">
      <f>H186</f>
    </nc>
  </rcc>
  <rcc rId="5789" sId="1" odxf="1" dxf="1" numFmtId="4">
    <nc r="H186">
      <v>1750.5</v>
    </nc>
    <ndxf>
      <fill>
        <patternFill patternType="none">
          <bgColor indexed="65"/>
        </patternFill>
      </fill>
    </ndxf>
  </rcc>
  <rcc rId="5790" sId="1">
    <nc r="I186">
      <v>1750.5</v>
    </nc>
  </rcc>
  <rcc rId="5791" sId="1">
    <nc r="J186">
      <v>1750.5</v>
    </nc>
  </rcc>
  <rcc rId="5792" sId="1">
    <oc r="G176">
      <f>G179+G181+G183+G191+G189+G187+G177+G195+G193</f>
    </oc>
    <nc r="G176">
      <f>G179+G181+G183+G191+G189+G187+G177+G195+G193+G185</f>
    </nc>
  </rcc>
  <rcc rId="5793" sId="1">
    <oc r="H176">
      <f>H179+H181+H183+H191+H189+H187+H177+H195+H193</f>
    </oc>
    <nc r="H176">
      <f>H179+H181+H183+H191+H189+H187+H177+H195+H193+H185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4" sId="1" numFmtId="34">
    <oc r="G476">
      <v>10342.965</v>
    </oc>
    <nc r="G476">
      <v>10052.284</v>
    </nc>
  </rcc>
  <rcc rId="5795" sId="1" numFmtId="34">
    <oc r="H476">
      <v>21040.994999999999</v>
    </oc>
    <nc r="H476">
      <v>20269.657999999999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96" sId="1" ref="A472:XFD475" action="insertRow"/>
  <rfmt sheetId="1" sqref="A472" start="0" length="0">
    <dxf>
      <fill>
        <patternFill patternType="none">
          <bgColor indexed="65"/>
        </patternFill>
      </fill>
      <alignment vertical="top"/>
    </dxf>
  </rfmt>
  <rfmt sheetId="1" sqref="B4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472" start="0" length="0">
    <dxf>
      <fill>
        <patternFill patternType="none">
          <bgColor indexed="65"/>
        </patternFill>
      </fill>
    </dxf>
  </rfmt>
  <rfmt sheetId="1" sqref="D472" start="0" length="0">
    <dxf>
      <fill>
        <patternFill patternType="none">
          <bgColor indexed="65"/>
        </patternFill>
      </fill>
    </dxf>
  </rfmt>
  <rfmt sheetId="1" sqref="E472" start="0" length="0">
    <dxf>
      <fill>
        <patternFill patternType="none">
          <bgColor indexed="65"/>
        </patternFill>
      </fill>
    </dxf>
  </rfmt>
  <rfmt sheetId="1" sqref="F472" start="0" length="0">
    <dxf>
      <fill>
        <patternFill patternType="none">
          <bgColor indexed="65"/>
        </patternFill>
      </fill>
    </dxf>
  </rfmt>
  <rfmt sheetId="1" sqref="G472" start="0" length="0">
    <dxf>
      <fill>
        <patternFill patternType="none">
          <bgColor indexed="65"/>
        </patternFill>
      </fill>
    </dxf>
  </rfmt>
  <rfmt sheetId="1" sqref="H472" start="0" length="0">
    <dxf>
      <fill>
        <patternFill patternType="none">
          <bgColor indexed="65"/>
        </patternFill>
      </fill>
    </dxf>
  </rfmt>
  <rfmt sheetId="1" sqref="A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4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797" sId="1" odxf="1" dxf="1">
    <nc r="A47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5798" sId="1">
    <nc r="B472" t="inlineStr">
      <is>
        <t>977</t>
      </is>
    </nc>
  </rcc>
  <rcc rId="5799" sId="1">
    <nc r="C472" t="inlineStr">
      <is>
        <t>05</t>
      </is>
    </nc>
  </rcc>
  <rcc rId="5800" sId="1">
    <nc r="D472" t="inlineStr">
      <is>
        <t>03</t>
      </is>
    </nc>
  </rcc>
  <rcc rId="5801" sId="1">
    <nc r="E472" t="inlineStr">
      <is>
        <t>16000 00000</t>
      </is>
    </nc>
  </rcc>
  <rcc rId="5802" sId="1">
    <nc r="G472">
      <f>G473</f>
    </nc>
  </rcc>
  <rcc rId="5803" sId="1" odxf="1" dxf="1">
    <nc r="A473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5804" sId="1">
    <nc r="B473" t="inlineStr">
      <is>
        <t>977</t>
      </is>
    </nc>
  </rcc>
  <rcc rId="5805" sId="1">
    <nc r="C473" t="inlineStr">
      <is>
        <t>05</t>
      </is>
    </nc>
  </rcc>
  <rcc rId="5806" sId="1">
    <nc r="D473" t="inlineStr">
      <is>
        <t>03</t>
      </is>
    </nc>
  </rcc>
  <rcc rId="5807" sId="1">
    <nc r="E473" t="inlineStr">
      <is>
        <t>160F2 00000</t>
      </is>
    </nc>
  </rcc>
  <rfmt sheetId="1" sqref="F473" start="0" length="0">
    <dxf>
      <numFmt numFmtId="0" formatCode="General"/>
      <alignment horizontal="general" vertical="top"/>
    </dxf>
  </rfmt>
  <rcc rId="5808" sId="1">
    <nc r="G473">
      <f>G474</f>
    </nc>
  </rcc>
  <rcc rId="5809" sId="1" odxf="1" dxf="1">
    <nc r="A47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5810" sId="1">
    <nc r="B474" t="inlineStr">
      <is>
        <t>977</t>
      </is>
    </nc>
  </rcc>
  <rcc rId="5811" sId="1">
    <nc r="C474" t="inlineStr">
      <is>
        <t>05</t>
      </is>
    </nc>
  </rcc>
  <rcc rId="5812" sId="1">
    <nc r="D474" t="inlineStr">
      <is>
        <t>03</t>
      </is>
    </nc>
  </rcc>
  <rcc rId="5813" sId="1">
    <nc r="E474" t="inlineStr">
      <is>
        <t>160F2 55550</t>
      </is>
    </nc>
  </rcc>
  <rfmt sheetId="1" sqref="F474" start="0" length="0">
    <dxf>
      <numFmt numFmtId="0" formatCode="General"/>
      <alignment horizontal="general" vertical="top"/>
    </dxf>
  </rfmt>
  <rcc rId="5814" sId="1" odxf="1" dxf="1">
    <nc r="A475" t="inlineStr">
      <is>
        <t>Иные межбюджетные трансферты</t>
      </is>
    </nc>
    <ndxf>
      <font>
        <color indexed="8"/>
        <name val="Times New Roman"/>
        <family val="1"/>
      </font>
      <alignment horizontal="left" vertical="center"/>
    </ndxf>
  </rcc>
  <rcc rId="5815" sId="1">
    <nc r="B475" t="inlineStr">
      <is>
        <t>977</t>
      </is>
    </nc>
  </rcc>
  <rcc rId="5816" sId="1">
    <nc r="C475" t="inlineStr">
      <is>
        <t>05</t>
      </is>
    </nc>
  </rcc>
  <rcc rId="5817" sId="1">
    <nc r="D475" t="inlineStr">
      <is>
        <t>03</t>
      </is>
    </nc>
  </rcc>
  <rcc rId="5818" sId="1">
    <nc r="E475" t="inlineStr">
      <is>
        <t>160F2 55550</t>
      </is>
    </nc>
  </rcc>
  <rcc rId="5819" sId="1" odxf="1" dxf="1">
    <nc r="F475" t="inlineStr">
      <is>
        <t>540</t>
      </is>
    </nc>
    <ndxf>
      <fill>
        <patternFill patternType="solid">
          <bgColor theme="0"/>
        </patternFill>
      </fill>
    </ndxf>
  </rcc>
  <rfmt sheetId="1" sqref="G475" start="0" length="0">
    <dxf>
      <fill>
        <patternFill patternType="solid">
          <bgColor rgb="FF92D050"/>
        </patternFill>
      </fill>
    </dxf>
  </rfmt>
  <rcc rId="5820" sId="1">
    <nc r="H472">
      <f>H473</f>
    </nc>
  </rcc>
  <rcc rId="5821" sId="1">
    <nc r="H473">
      <f>H474</f>
    </nc>
  </rcc>
  <rfmt sheetId="1" sqref="H475" start="0" length="0">
    <dxf>
      <fill>
        <patternFill patternType="solid">
          <bgColor rgb="FF92D050"/>
        </patternFill>
      </fill>
    </dxf>
  </rfmt>
  <rcc rId="5822" sId="1">
    <nc r="G474">
      <f>G475</f>
    </nc>
  </rcc>
  <rcc rId="5823" sId="1">
    <nc r="H474">
      <f>H475</f>
    </nc>
  </rcc>
  <rcc rId="5824" sId="1">
    <oc r="G471">
      <f>G476</f>
    </oc>
    <nc r="G471">
      <f>G476+G472</f>
    </nc>
  </rcc>
  <rcc rId="5825" sId="1">
    <oc r="H471">
      <f>H476</f>
    </oc>
    <nc r="H471">
      <f>H476+H472</f>
    </nc>
  </rcc>
  <rcc rId="5826" sId="1" numFmtId="4">
    <nc r="G475">
      <v>16866.5</v>
    </nc>
  </rcc>
  <rcc rId="5827" sId="1" numFmtId="4">
    <nc r="H475">
      <v>16183.9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28" sId="1">
    <nc r="I475">
      <v>16866.5</v>
    </nc>
  </rcc>
  <rcc rId="5829" sId="1">
    <nc r="J475">
      <v>16813.900000000001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0" sId="1" ref="A140:XFD144" action="insertRow"/>
  <rfmt sheetId="1" sqref="A140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14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fmt sheetId="1" sqref="C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41" start="0" length="0">
    <dxf>
      <font>
        <b/>
        <name val="Times New Roman"/>
        <family val="1"/>
      </font>
      <alignment vertical="center"/>
    </dxf>
  </rfmt>
  <rfmt sheetId="1" sqref="B141" start="0" length="0">
    <dxf>
      <font>
        <b/>
        <name val="Times New Roman"/>
        <family val="1"/>
      </font>
    </dxf>
  </rfmt>
  <rfmt sheetId="1" sqref="C141" start="0" length="0">
    <dxf>
      <font>
        <b/>
        <name val="Times New Roman"/>
        <family val="1"/>
      </font>
    </dxf>
  </rfmt>
  <rfmt sheetId="1" sqref="D141" start="0" length="0">
    <dxf>
      <font>
        <b/>
        <name val="Times New Roman"/>
        <family val="1"/>
      </font>
    </dxf>
  </rfmt>
  <rfmt sheetId="1" sqref="E141" start="0" length="0">
    <dxf>
      <font>
        <b/>
        <name val="Times New Roman"/>
        <family val="1"/>
      </font>
    </dxf>
  </rfmt>
  <rfmt sheetId="1" sqref="F141" start="0" length="0">
    <dxf>
      <font>
        <b/>
        <name val="Times New Roman"/>
        <family val="1"/>
      </font>
    </dxf>
  </rfmt>
  <rfmt sheetId="1" sqref="G141" start="0" length="0">
    <dxf>
      <font>
        <b/>
        <name val="Times New Roman"/>
        <family val="1"/>
      </font>
    </dxf>
  </rfmt>
  <rfmt sheetId="1" sqref="H141" start="0" length="0">
    <dxf>
      <font>
        <b/>
        <name val="Times New Roman"/>
        <family val="1"/>
      </font>
    </dxf>
  </rfmt>
  <rfmt sheetId="1" sqref="A142" start="0" length="0">
    <dxf>
      <font>
        <i/>
        <name val="Times New Roman"/>
        <family val="1"/>
      </font>
      <alignment horizontal="left" vertical="center"/>
    </dxf>
  </rfmt>
  <rfmt sheetId="1" sqref="C142" start="0" length="0">
    <dxf>
      <font>
        <i/>
        <name val="Times New Roman"/>
        <family val="1"/>
      </font>
    </dxf>
  </rfmt>
  <rfmt sheetId="1" sqref="D142" start="0" length="0">
    <dxf>
      <font>
        <i/>
        <name val="Times New Roman"/>
        <family val="1"/>
      </font>
    </dxf>
  </rfmt>
  <rfmt sheetId="1" sqref="E142" start="0" length="0">
    <dxf>
      <font>
        <i/>
        <name val="Times New Roman"/>
        <family val="1"/>
      </font>
    </dxf>
  </rfmt>
  <rfmt sheetId="1" sqref="F142" start="0" length="0">
    <dxf>
      <font>
        <i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fmt sheetId="1" sqref="H142" start="0" length="0">
    <dxf>
      <font>
        <i/>
        <name val="Times New Roman"/>
        <family val="1"/>
      </font>
    </dxf>
  </rfmt>
  <rfmt sheetId="1" sqref="A143" start="0" length="0">
    <dxf>
      <font>
        <i/>
        <name val="Times New Roman"/>
        <family val="1"/>
      </font>
      <alignment vertical="bottom" wrapText="0"/>
    </dxf>
  </rfmt>
  <rfmt sheetId="1" sqref="B143" start="0" length="0">
    <dxf>
      <font>
        <i/>
        <name val="Times New Roman"/>
        <family val="1"/>
      </font>
    </dxf>
  </rfmt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fmt sheetId="1" sqref="E143" start="0" length="0">
    <dxf>
      <font>
        <i/>
        <name val="Times New Roman"/>
        <family val="1"/>
      </font>
    </dxf>
  </rfmt>
  <rfmt sheetId="1" sqref="F143" start="0" length="0">
    <dxf>
      <font>
        <i/>
        <name val="Times New Roman"/>
        <family val="1"/>
      </font>
    </dxf>
  </rfmt>
  <rfmt sheetId="1" sqref="G143" start="0" length="0">
    <dxf>
      <font>
        <i/>
        <name val="Times New Roman"/>
        <family val="1"/>
      </font>
    </dxf>
  </rfmt>
  <rfmt sheetId="1" sqref="H143" start="0" length="0">
    <dxf>
      <font>
        <i/>
        <name val="Times New Roman"/>
        <family val="1"/>
      </font>
    </dxf>
  </rfmt>
  <rcc rId="5831" sId="1">
    <nc r="A140" t="inlineStr">
      <is>
        <t>Социальное обеспечение населения</t>
      </is>
    </nc>
  </rcc>
  <rcc rId="5832" sId="1" odxf="1" dxf="1" numFmtId="30">
    <nc r="B140">
      <v>968</v>
    </nc>
    <ndxf>
      <font>
        <i val="0"/>
        <name val="Times New Roman"/>
        <family val="1"/>
      </font>
    </ndxf>
  </rcc>
  <rcc rId="5833" sId="1">
    <nc r="C140" t="inlineStr">
      <is>
        <t>10</t>
      </is>
    </nc>
  </rcc>
  <rcc rId="5834" sId="1">
    <nc r="D140" t="inlineStr">
      <is>
        <t>03</t>
      </is>
    </nc>
  </rcc>
  <rcc rId="5835" sId="1">
    <nc r="G140">
      <f>G141</f>
    </nc>
  </rcc>
  <rcc rId="5836" sId="1" odxf="1" dxf="1">
    <nc r="A14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5837" sId="1" odxf="1" dxf="1" numFmtId="30">
    <nc r="B141" t="inlineStr">
      <is>
        <t>968</t>
      </is>
    </nc>
    <ndxf>
      <fill>
        <patternFill patternType="solid">
          <bgColor theme="0"/>
        </patternFill>
      </fill>
    </ndxf>
  </rcc>
  <rcc rId="5838" sId="1" odxf="1" dxf="1">
    <nc r="C141" t="inlineStr">
      <is>
        <t>10</t>
      </is>
    </nc>
    <ndxf>
      <fill>
        <patternFill patternType="solid">
          <bgColor theme="0"/>
        </patternFill>
      </fill>
    </ndxf>
  </rcc>
  <rcc rId="5839" sId="1" odxf="1" dxf="1">
    <nc r="D141" t="inlineStr">
      <is>
        <t>03</t>
      </is>
    </nc>
    <ndxf>
      <fill>
        <patternFill patternType="solid">
          <bgColor theme="0"/>
        </patternFill>
      </fill>
    </ndxf>
  </rcc>
  <rcc rId="5840" sId="1" odxf="1" dxf="1">
    <nc r="E141" t="inlineStr">
      <is>
        <t>06000 00000</t>
      </is>
    </nc>
    <ndxf>
      <fill>
        <patternFill patternType="solid">
          <bgColor theme="0"/>
        </patternFill>
      </fill>
    </ndxf>
  </rcc>
  <rfmt sheetId="1" sqref="F141" start="0" length="0">
    <dxf>
      <fill>
        <patternFill patternType="solid">
          <bgColor theme="0"/>
        </patternFill>
      </fill>
    </dxf>
  </rfmt>
  <rcc rId="5841" sId="1" odxf="1" dxf="1">
    <nc r="G141">
      <f>G142</f>
    </nc>
    <ndxf>
      <fill>
        <patternFill patternType="solid">
          <bgColor theme="0"/>
        </patternFill>
      </fill>
    </ndxf>
  </rcc>
  <rcc rId="5842" sId="1" odxf="1" dxf="1">
    <nc r="A142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5843" sId="1" odxf="1" dxf="1" numFmtId="30">
    <nc r="B142" t="inlineStr">
      <is>
        <t>968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5844" sId="1" odxf="1" dxf="1">
    <nc r="C142" t="inlineStr">
      <is>
        <t>10</t>
      </is>
    </nc>
    <ndxf>
      <fill>
        <patternFill patternType="solid">
          <bgColor theme="0"/>
        </patternFill>
      </fill>
    </ndxf>
  </rcc>
  <rcc rId="5845" sId="1" odxf="1" dxf="1">
    <nc r="D142" t="inlineStr">
      <is>
        <t>03</t>
      </is>
    </nc>
    <ndxf>
      <fill>
        <patternFill patternType="solid">
          <bgColor theme="0"/>
        </patternFill>
      </fill>
    </ndxf>
  </rcc>
  <rcc rId="5846" sId="1" odxf="1" dxf="1">
    <nc r="E142" t="inlineStr">
      <is>
        <t>06040 00000</t>
      </is>
    </nc>
    <ndxf>
      <fill>
        <patternFill patternType="solid">
          <bgColor theme="0"/>
        </patternFill>
      </fill>
    </ndxf>
  </rcc>
  <rfmt sheetId="1" sqref="F142" start="0" length="0">
    <dxf>
      <fill>
        <patternFill patternType="solid">
          <bgColor theme="0"/>
        </patternFill>
      </fill>
    </dxf>
  </rfmt>
  <rcc rId="5847" sId="1" odxf="1" dxf="1">
    <nc r="G142">
      <f>G143</f>
    </nc>
    <ndxf>
      <fill>
        <patternFill patternType="solid">
          <bgColor theme="0"/>
        </patternFill>
      </fill>
    </ndxf>
  </rcc>
  <rcc rId="5848" sId="1" odxf="1" dxf="1">
    <nc r="A143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5849" sId="1" odxf="1" dxf="1" numFmtId="30">
    <nc r="B143" t="inlineStr">
      <is>
        <t>968</t>
      </is>
    </nc>
    <ndxf>
      <fill>
        <patternFill patternType="solid">
          <bgColor theme="0"/>
        </patternFill>
      </fill>
    </ndxf>
  </rcc>
  <rcc rId="5850" sId="1" odxf="1" dxf="1">
    <nc r="C143" t="inlineStr">
      <is>
        <t>10</t>
      </is>
    </nc>
    <ndxf>
      <fill>
        <patternFill patternType="solid">
          <bgColor theme="0"/>
        </patternFill>
      </fill>
    </ndxf>
  </rcc>
  <rcc rId="5851" sId="1" odxf="1" dxf="1">
    <nc r="D143" t="inlineStr">
      <is>
        <t>03</t>
      </is>
    </nc>
    <ndxf>
      <fill>
        <patternFill patternType="solid">
          <bgColor theme="0"/>
        </patternFill>
      </fill>
    </ndxf>
  </rcc>
  <rcc rId="5852" sId="1" odxf="1" dxf="1">
    <nc r="E143" t="inlineStr">
      <is>
        <t>06040 L5760</t>
      </is>
    </nc>
    <ndxf>
      <fill>
        <patternFill patternType="solid">
          <bgColor theme="0"/>
        </patternFill>
      </fill>
    </ndxf>
  </rcc>
  <rfmt sheetId="1" sqref="F143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853" sId="1" odxf="1" dxf="1">
    <nc r="G143">
      <f>G144</f>
    </nc>
    <ndxf>
      <fill>
        <patternFill patternType="solid">
          <bgColor rgb="FF92D050"/>
        </patternFill>
      </fill>
    </ndxf>
  </rcc>
  <rcc rId="5854" sId="1" odxf="1" dxf="1">
    <nc r="A144" t="inlineStr">
      <is>
        <t>Субсидии автономным учреждениям на иные цели</t>
      </is>
    </nc>
    <ndxf>
      <alignment horizontal="left" vertical="center"/>
    </ndxf>
  </rcc>
  <rcc rId="5855" sId="1" odxf="1" dxf="1" numFmtId="30">
    <nc r="B144" t="inlineStr">
      <is>
        <t>968</t>
      </is>
    </nc>
    <ndxf>
      <fill>
        <patternFill patternType="solid">
          <bgColor theme="0"/>
        </patternFill>
      </fill>
    </ndxf>
  </rcc>
  <rcc rId="5856" sId="1" odxf="1" dxf="1">
    <nc r="C144" t="inlineStr">
      <is>
        <t>10</t>
      </is>
    </nc>
    <ndxf>
      <fill>
        <patternFill patternType="solid">
          <bgColor theme="0"/>
        </patternFill>
      </fill>
    </ndxf>
  </rcc>
  <rcc rId="5857" sId="1" odxf="1" dxf="1">
    <nc r="D144" t="inlineStr">
      <is>
        <t>03</t>
      </is>
    </nc>
    <ndxf>
      <fill>
        <patternFill patternType="solid">
          <bgColor theme="0"/>
        </patternFill>
      </fill>
    </ndxf>
  </rcc>
  <rcc rId="5858" sId="1" odxf="1" dxf="1">
    <nc r="E144" t="inlineStr">
      <is>
        <t>06040 L5760</t>
      </is>
    </nc>
    <ndxf>
      <fill>
        <patternFill patternType="solid">
          <bgColor theme="0"/>
        </patternFill>
      </fill>
    </ndxf>
  </rcc>
  <rcc rId="5859" sId="1" odxf="1" dxf="1">
    <nc r="F144" t="inlineStr">
      <is>
        <t>622</t>
      </is>
    </nc>
    <ndxf>
      <fill>
        <patternFill patternType="solid">
          <bgColor theme="0"/>
        </patternFill>
      </fill>
    </ndxf>
  </rcc>
  <rfmt sheetId="1" sqref="G144" start="0" length="0">
    <dxf>
      <fill>
        <patternFill patternType="solid">
          <bgColor theme="0"/>
        </patternFill>
      </fill>
    </dxf>
  </rfmt>
  <rcc rId="5860" sId="1">
    <nc r="H140">
      <f>H141</f>
    </nc>
  </rcc>
  <rcc rId="5861" sId="1" odxf="1" dxf="1">
    <nc r="H141">
      <f>H142</f>
    </nc>
    <ndxf>
      <fill>
        <patternFill patternType="solid">
          <bgColor theme="0"/>
        </patternFill>
      </fill>
    </ndxf>
  </rcc>
  <rcc rId="5862" sId="1" odxf="1" dxf="1">
    <nc r="H142">
      <f>H143</f>
    </nc>
    <ndxf>
      <fill>
        <patternFill patternType="solid">
          <bgColor theme="0"/>
        </patternFill>
      </fill>
    </ndxf>
  </rcc>
  <rcc rId="5863" sId="1" odxf="1" dxf="1">
    <nc r="H143">
      <f>H144</f>
    </nc>
    <ndxf>
      <fill>
        <patternFill patternType="solid">
          <bgColor rgb="FF92D050"/>
        </patternFill>
      </fill>
    </ndxf>
  </rcc>
  <rfmt sheetId="1" sqref="H144" start="0" length="0">
    <dxf>
      <fill>
        <patternFill patternType="solid">
          <bgColor theme="0"/>
        </patternFill>
      </fill>
    </dxf>
  </rfmt>
  <rcc rId="5864" sId="1" numFmtId="4">
    <nc r="G144">
      <v>770</v>
    </nc>
  </rcc>
  <rcc rId="5865" sId="1" numFmtId="4">
    <nc r="H144">
      <v>770</v>
    </nc>
  </rcc>
  <rcc rId="5866" sId="1">
    <nc r="I144">
      <v>770</v>
    </nc>
  </rcc>
  <rcc rId="5867" sId="1">
    <nc r="J144">
      <v>770</v>
    </nc>
  </rcc>
  <rcc rId="5868" sId="1">
    <oc r="G134">
      <f>G135+G145</f>
    </oc>
    <nc r="G134">
      <f>G135+G145+G140</f>
    </nc>
  </rcc>
  <rcc rId="5869" sId="1">
    <oc r="H134">
      <f>H135+H145</f>
    </oc>
    <nc r="H134">
      <f>H135+H145+H140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H144">
      <v>770</v>
    </oc>
    <nc r="H144">
      <v>0</v>
    </nc>
  </rcc>
  <rcc rId="5871" sId="1">
    <oc r="J144">
      <v>770</v>
    </oc>
    <nc r="J144">
      <v>0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2" sId="1">
    <oc r="J480">
      <v>16813.900000000001</v>
    </oc>
    <nc r="J480">
      <v>16183.9</v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75">
      <f>16093.8</f>
    </oc>
    <nc r="G175">
      <f>16093.8+3797.5</f>
    </nc>
  </rcc>
  <rcc rId="5874" sId="1">
    <oc r="H175">
      <f>16093.8</f>
    </oc>
    <nc r="H175">
      <f>16093.8+3797.5</f>
    </nc>
  </rcc>
  <rcc rId="5875" sId="1">
    <oc r="G177">
      <f>3925.6-128.1</f>
    </oc>
    <nc r="G177"/>
  </rcc>
  <rcc rId="5876" sId="1">
    <oc r="H177">
      <f>3925.6-128.1</f>
    </oc>
    <nc r="H177"/>
  </rcc>
  <rrc rId="5877" sId="1" ref="A176:XFD176" action="deleteRow">
    <undo index="65535" exp="ref" v="1" dr="H176" r="H167" sId="1"/>
    <undo index="65535" exp="ref" v="1" dr="G176" r="G167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6">
        <f>G177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78" sId="1" ref="A176:XFD176" action="deleteRow"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79" sId="1">
    <oc r="G167">
      <f>G168+G174+G170+G172+#REF!</f>
    </oc>
    <nc r="G167">
      <f>G168+G174+G170+G172</f>
    </nc>
  </rcc>
  <rcc rId="5880" sId="1">
    <oc r="H167">
      <f>H168+H174+H170+H172+#REF!</f>
    </oc>
    <nc r="H167">
      <f>H168+H174+H170+H172</f>
    </nc>
  </rcc>
  <rcc rId="5881" sId="1">
    <oc r="G211">
      <f>8525.8</f>
    </oc>
    <nc r="G211">
      <f>8525.8+179.8</f>
    </nc>
  </rcc>
  <rcc rId="5882" sId="1">
    <oc r="H211">
      <f>8525.8</f>
    </oc>
    <nc r="H211">
      <f>8525.8+179.8</f>
    </nc>
  </rcc>
  <rcc rId="5883" sId="1">
    <oc r="G212">
      <f>15665</f>
    </oc>
    <nc r="G212">
      <f>15665+340.5</f>
    </nc>
  </rcc>
  <rcc rId="5884" sId="1">
    <oc r="H212">
      <f>15665</f>
    </oc>
    <nc r="H212">
      <f>15665+340.5</f>
    </nc>
  </rcc>
  <rcc rId="5885" sId="1">
    <oc r="G217">
      <f>179.8</f>
    </oc>
    <nc r="G217"/>
  </rcc>
  <rcc rId="5886" sId="1">
    <oc r="H217">
      <f>179.8</f>
    </oc>
    <nc r="H217"/>
  </rcc>
  <rcc rId="5887" sId="1">
    <oc r="G218">
      <f>340.5</f>
    </oc>
    <nc r="G218"/>
  </rcc>
  <rcc rId="5888" sId="1">
    <oc r="H218">
      <f>340.5</f>
    </oc>
    <nc r="H218"/>
  </rcc>
  <rrc rId="5889" sId="1" ref="A216:XFD216" action="deleteRow">
    <undo index="65535" exp="ref" v="1" dr="H216" r="H209" sId="1"/>
    <undo index="65535" exp="ref" v="1" dr="G216" r="G209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6">
        <f>G217+G218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6">
        <f>H217+H218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90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91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92" sId="1">
    <oc r="G209">
      <f>G210+G213+#REF!</f>
    </oc>
    <nc r="G209">
      <f>G210+G213</f>
    </nc>
  </rcc>
  <rcc rId="5893" sId="1">
    <oc r="H209">
      <f>H210+H213+#REF!</f>
    </oc>
    <nc r="H209">
      <f>H210+H213</f>
    </nc>
  </rcc>
  <rcc rId="5894" sId="1" numFmtId="4">
    <oc r="G248">
      <v>1969.3</v>
    </oc>
    <nc r="G248">
      <f>1969.3+1082.2</f>
    </nc>
  </rcc>
  <rcc rId="5895" sId="1" numFmtId="4">
    <oc r="H248">
      <v>1969.3</v>
    </oc>
    <nc r="H248">
      <f>1969.3+1082.2</f>
    </nc>
  </rcc>
  <rcc rId="5896" sId="1" numFmtId="4">
    <oc r="G249">
      <v>594.70000000000005</v>
    </oc>
    <nc r="G249">
      <f>594.7+326.8</f>
    </nc>
  </rcc>
  <rcc rId="5897" sId="1" numFmtId="4">
    <oc r="H249">
      <v>594.70000000000005</v>
    </oc>
    <nc r="H249">
      <f>594.7+326.8</f>
    </nc>
  </rcc>
  <rcc rId="5898" sId="1">
    <oc r="G256">
      <f>1082.2</f>
    </oc>
    <nc r="G256"/>
  </rcc>
  <rcc rId="5899" sId="1">
    <oc r="H256">
      <f>1082.2</f>
    </oc>
    <nc r="H256"/>
  </rcc>
  <rcc rId="5900" sId="1">
    <oc r="G257">
      <f>326.8</f>
    </oc>
    <nc r="G257"/>
  </rcc>
  <rcc rId="5901" sId="1">
    <oc r="H257">
      <f>326.8</f>
    </oc>
    <nc r="H257"/>
  </rcc>
  <rrc rId="5902" sId="1" ref="A255:XFD255" action="deleteRow">
    <undo index="65535" exp="ref" v="1" dr="H255" r="H241" sId="1"/>
    <undo index="65535" exp="ref" v="1" dr="G255" r="G241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5">
        <f>SUM(G256:G257)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5">
        <f>SUM(H256:H257)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03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04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05" sId="1">
    <oc r="G241">
      <f>G244+G247+G242+#REF!</f>
    </oc>
    <nc r="G241">
      <f>G244+G247+G242</f>
    </nc>
  </rcc>
  <rcc rId="5906" sId="1">
    <oc r="H241">
      <f>H244+H247+H242+#REF!</f>
    </oc>
    <nc r="H241">
      <f>H244+H247+H242</f>
    </nc>
  </rcc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7" sId="1" numFmtId="4">
    <oc r="G144">
      <v>770</v>
    </oc>
    <nc r="G144">
      <f>770+85.55768</f>
    </nc>
  </rcc>
  <rrc rId="5908" sId="1" ref="A477:XFD481" action="insertRow"/>
  <rfmt sheetId="1" sqref="A47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478" start="0" length="0">
    <dxf>
      <font>
        <b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H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A479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H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4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80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G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H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A481" start="0" length="0">
    <dxf>
      <alignment horizontal="left" vertical="center"/>
    </dxf>
  </rfmt>
  <rfmt sheetId="1" sqref="B481" start="0" length="0">
    <dxf>
      <fill>
        <patternFill patternType="solid">
          <bgColor theme="0"/>
        </patternFill>
      </fill>
    </dxf>
  </rfmt>
  <rfmt sheetId="1" sqref="C481" start="0" length="0">
    <dxf>
      <fill>
        <patternFill patternType="solid">
          <bgColor theme="0"/>
        </patternFill>
      </fill>
    </dxf>
  </rfmt>
  <rfmt sheetId="1" sqref="D481" start="0" length="0">
    <dxf>
      <fill>
        <patternFill patternType="solid">
          <bgColor theme="0"/>
        </patternFill>
      </fill>
    </dxf>
  </rfmt>
  <rfmt sheetId="1" sqref="E481" start="0" length="0">
    <dxf>
      <fill>
        <patternFill patternType="solid">
          <bgColor theme="0"/>
        </patternFill>
      </fill>
    </dxf>
  </rfmt>
  <rfmt sheetId="1" sqref="F481" start="0" length="0">
    <dxf>
      <fill>
        <patternFill patternType="solid">
          <bgColor theme="0"/>
        </patternFill>
      </fill>
    </dxf>
  </rfmt>
  <rfmt sheetId="1" sqref="G481" start="0" length="0">
    <dxf>
      <fill>
        <patternFill patternType="solid">
          <bgColor theme="0"/>
        </patternFill>
      </fill>
    </dxf>
  </rfmt>
  <rfmt sheetId="1" sqref="H481" start="0" length="0">
    <dxf>
      <fill>
        <patternFill patternType="solid">
          <bgColor theme="0"/>
        </patternFill>
      </fill>
    </dxf>
  </rfmt>
  <rcc rId="5909" sId="1">
    <nc r="I481">
      <v>770</v>
    </nc>
  </rcc>
  <rcc rId="5910" sId="1">
    <nc r="J481">
      <v>0</v>
    </nc>
  </rcc>
  <rrc rId="5911" sId="1" ref="A477:XFD477" action="insertRow"/>
  <rcc rId="5912" sId="1" odxf="1" dxf="1">
    <nc r="A477" t="inlineStr">
      <is>
        <t>СОЦИАЛЬНАЯ ПОЛИТИКА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/>
    </ndxf>
  </rcc>
  <rcc rId="5913" sId="1" odxf="1" dxf="1">
    <nc r="B477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14" sId="1" odxf="1" dxf="1">
    <nc r="C47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15" sId="1" odxf="1" dxf="1">
    <nc r="G477">
      <f>G478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16" sId="1">
    <nc r="A478" t="inlineStr">
      <is>
        <t>Социальное обеспечение населения</t>
      </is>
    </nc>
  </rcc>
  <rcc rId="5917" sId="1" numFmtId="30">
    <nc r="B478" t="inlineStr">
      <is>
        <t>977</t>
      </is>
    </nc>
  </rcc>
  <rcc rId="5918" sId="1">
    <nc r="C478" t="inlineStr">
      <is>
        <t>10</t>
      </is>
    </nc>
  </rcc>
  <rcc rId="5919" sId="1">
    <nc r="D478" t="inlineStr">
      <is>
        <t>03</t>
      </is>
    </nc>
  </rcc>
  <rfmt sheetId="1" sqref="G478" start="0" length="0">
    <dxf>
      <alignment wrapText="0"/>
    </dxf>
  </rfmt>
  <rcc rId="5920" sId="1" odxf="1" dxf="1">
    <nc r="A479" t="inlineStr">
      <is>
        <t>Муниципальная программа «Комплексное развитие сельских территорий в Селенгинском районе на 2023-2025 годы»</t>
      </is>
    </nc>
    <ndxf>
      <alignment horizontal="left"/>
    </ndxf>
  </rcc>
  <rcc rId="5921" sId="1">
    <nc r="B479" t="inlineStr">
      <is>
        <t>977</t>
      </is>
    </nc>
  </rcc>
  <rcc rId="5922" sId="1">
    <nc r="C479" t="inlineStr">
      <is>
        <t>10</t>
      </is>
    </nc>
  </rcc>
  <rcc rId="5923" sId="1">
    <nc r="D479" t="inlineStr">
      <is>
        <t>03</t>
      </is>
    </nc>
  </rcc>
  <rcc rId="5924" sId="1">
    <nc r="E479" t="inlineStr">
      <is>
        <t>06000 00000</t>
      </is>
    </nc>
  </rcc>
  <rcc rId="5925" sId="1">
    <nc r="G479">
      <f>G480</f>
    </nc>
  </rcc>
  <rcc rId="5926" sId="1">
    <nc r="A48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5927" sId="1">
    <nc r="B480" t="inlineStr">
      <is>
        <t>977</t>
      </is>
    </nc>
  </rcc>
  <rcc rId="5928" sId="1">
    <nc r="C480" t="inlineStr">
      <is>
        <t>10</t>
      </is>
    </nc>
  </rcc>
  <rcc rId="5929" sId="1">
    <nc r="D480" t="inlineStr">
      <is>
        <t>03</t>
      </is>
    </nc>
  </rcc>
  <rcc rId="5930" sId="1">
    <nc r="E480" t="inlineStr">
      <is>
        <t>06020 00000</t>
      </is>
    </nc>
  </rcc>
  <rcc rId="5931" sId="1">
    <nc r="G480">
      <f>G481</f>
    </nc>
  </rcc>
  <rcc rId="5932" sId="1">
    <nc r="A481" t="inlineStr">
      <is>
        <t>Обеспечение комплексного развития сельских территорий</t>
      </is>
    </nc>
  </rcc>
  <rcc rId="5933" sId="1">
    <nc r="B481" t="inlineStr">
      <is>
        <t>977</t>
      </is>
    </nc>
  </rcc>
  <rcc rId="5934" sId="1">
    <nc r="C481" t="inlineStr">
      <is>
        <t>10</t>
      </is>
    </nc>
  </rcc>
  <rcc rId="5935" sId="1">
    <nc r="D481" t="inlineStr">
      <is>
        <t>03</t>
      </is>
    </nc>
  </rcc>
  <rcc rId="5936" sId="1">
    <nc r="E481" t="inlineStr">
      <is>
        <t>06020 L5760</t>
      </is>
    </nc>
  </rcc>
  <rcc rId="5937" sId="1" odxf="1" dxf="1">
    <nc r="G481">
      <f>G482</f>
    </nc>
    <ndxf>
      <fill>
        <patternFill>
          <bgColor theme="0"/>
        </patternFill>
      </fill>
    </ndxf>
  </rcc>
  <rcc rId="5938" sId="1" odxf="1" dxf="1">
    <nc r="A482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5939" sId="1">
    <nc r="B482" t="inlineStr">
      <is>
        <t>977</t>
      </is>
    </nc>
  </rcc>
  <rcc rId="5940" sId="1">
    <nc r="C482" t="inlineStr">
      <is>
        <t>10</t>
      </is>
    </nc>
  </rcc>
  <rcc rId="5941" sId="1">
    <nc r="D482" t="inlineStr">
      <is>
        <t>03</t>
      </is>
    </nc>
  </rcc>
  <rcc rId="5942" sId="1">
    <nc r="E482" t="inlineStr">
      <is>
        <t>06020 L5760</t>
      </is>
    </nc>
  </rcc>
  <rcc rId="5943" sId="1">
    <nc r="F482" t="inlineStr">
      <is>
        <t>244</t>
      </is>
    </nc>
  </rcc>
  <rcc rId="5944" sId="1" odxf="1" dxf="1">
    <nc r="H477">
      <f>H478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alignment wrapText="0"/>
    </dxf>
  </rfmt>
  <rcc rId="5945" sId="1">
    <nc r="H479">
      <f>H480</f>
    </nc>
  </rcc>
  <rcc rId="5946" sId="1">
    <nc r="H480">
      <f>H481</f>
    </nc>
  </rcc>
  <rcc rId="5947" sId="1" odxf="1" dxf="1">
    <nc r="H481">
      <f>H482</f>
    </nc>
    <ndxf>
      <fill>
        <patternFill>
          <bgColor theme="0"/>
        </patternFill>
      </fill>
    </ndxf>
  </rcc>
  <rcc rId="5948" sId="1" numFmtId="4">
    <nc r="G482">
      <f>11369+127.9224</f>
    </nc>
  </rcc>
  <rcc rId="5949" sId="1" numFmtId="4">
    <nc r="H482">
      <v>0</v>
    </nc>
  </rcc>
  <rcc rId="5950" sId="1">
    <nc r="G478">
      <f>G479</f>
    </nc>
  </rcc>
  <rcc rId="5951" sId="1">
    <nc r="H478">
      <f>H479</f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2" sId="1">
    <oc r="G446">
      <f>G447+G454+G462</f>
    </oc>
    <nc r="G446">
      <f>G447+G454+G462+G477</f>
    </nc>
  </rcc>
  <rcc rId="5953" sId="1">
    <oc r="H446">
      <f>H447+H454+H462</f>
    </oc>
    <nc r="H446">
      <f>H447+H454+H462+H477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4" sId="1" numFmtId="4">
    <oc r="G472">
      <v>16866.5</v>
    </oc>
    <nc r="G472">
      <f>16866.5+16.8665</f>
    </nc>
  </rcc>
  <rcc rId="5955" sId="1" numFmtId="4">
    <oc r="H472">
      <v>16183.9</v>
    </oc>
    <nc r="H472">
      <f>16183.9+16.1839</f>
    </nc>
  </rcc>
  <rcc rId="5956" sId="1" numFmtId="4">
    <oc r="G452">
      <v>6876.8</v>
    </oc>
    <nc r="G452">
      <f>6876.8-111.2</f>
    </nc>
  </rcc>
  <rcc rId="5957" sId="1" numFmtId="4">
    <oc r="G453">
      <v>2076.8000000000002</v>
    </oc>
    <nc r="G453">
      <f>2076.8-33.5889</f>
    </nc>
  </rcc>
  <rcc rId="5958" sId="1" numFmtId="4">
    <oc r="H452">
      <v>6876.8</v>
    </oc>
    <nc r="H452">
      <f>6876.8-12.4</f>
    </nc>
  </rcc>
  <rcc rId="5959" sId="1" numFmtId="4">
    <oc r="H453">
      <v>2076.8000000000002</v>
    </oc>
    <nc r="H453">
      <f>2076.8-3.7839</f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0" sId="1" numFmtId="4">
    <oc r="G40">
      <v>14343</v>
    </oc>
    <nc r="G40">
      <f>14343-65.7</f>
    </nc>
  </rcc>
  <rcc rId="5961" sId="1" numFmtId="4">
    <oc r="G41">
      <v>4331.6000000000004</v>
    </oc>
    <nc r="G41">
      <f>4331.6-19.85768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2" sId="1">
    <oc r="I482">
      <v>770</v>
    </oc>
    <nc r="I482">
      <v>11369</v>
    </nc>
  </rcc>
  <rcc rId="5963" sId="1" numFmtId="34">
    <nc r="G486">
      <v>1368160.46</v>
    </nc>
  </rcc>
  <rcc rId="5964" sId="1" numFmtId="34">
    <nc r="H486">
      <v>1367567.3600000001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5" sId="1">
    <oc r="G396">
      <f>859.2+2243.8</f>
    </oc>
    <nc r="G396">
      <f>859.2+2243.8-8.5</f>
    </nc>
  </rcc>
  <rcc rId="5966" sId="1">
    <oc r="G397">
      <f>259.5+677.6</f>
    </oc>
    <nc r="G397">
      <f>259.5+677.6-2.6</f>
    </nc>
  </rcc>
  <rcc rId="5967" sId="1">
    <oc r="H396">
      <f>859.2+2243.8</f>
    </oc>
    <nc r="H396">
      <f>859.2+2243.8-8.5</f>
    </nc>
  </rcc>
  <rcc rId="5968" sId="1">
    <oc r="H397">
      <f>259.5+677.6</f>
    </oc>
    <nc r="H397">
      <f>259.5+677.6-2.6</f>
    </nc>
  </rcc>
  <rcc rId="5969" sId="1">
    <oc r="I395">
      <v>1118.7</v>
    </oc>
    <nc r="I395">
      <v>1107.5999999999999</v>
    </nc>
  </rcc>
  <rcc rId="5970" sId="1">
    <oc r="J395">
      <v>1118.7</v>
    </oc>
    <nc r="J395">
      <v>1107.5999999999999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1" sId="1" odxf="1" dxf="1">
    <nc r="I490">
      <f>I488-G492</f>
    </nc>
    <odxf>
      <numFmt numFmtId="0" formatCode="General"/>
    </odxf>
    <ndxf>
      <numFmt numFmtId="168" formatCode="#,##0.00000"/>
    </ndxf>
  </rcc>
  <rcc rId="5972" sId="1" odxf="1" dxf="1">
    <nc r="J490">
      <f>J488-H492</f>
    </nc>
    <odxf>
      <numFmt numFmtId="0" formatCode="General"/>
    </odxf>
    <ndxf>
      <numFmt numFmtId="168" formatCode="#,##0.00000"/>
    </ndxf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3" sId="1" ref="A386:XFD390" action="insertRow"/>
  <rcc rId="5974" sId="1" odxf="1" dxf="1">
    <nc r="A386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5975" sId="1" odxf="1" dxf="1">
    <nc r="B386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76" sId="1" odxf="1" dxf="1">
    <nc r="C38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77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8" sId="1" odxf="1" dxf="1">
    <nc r="H386">
      <f>H387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9" sId="1" odxf="1" dxf="1">
    <nc r="A387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5980" sId="1" odxf="1" dxf="1">
    <nc r="B387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1" sId="1" odxf="1" dxf="1">
    <nc r="C38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2" sId="1" odxf="1" dxf="1">
    <nc r="D38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83" sId="1" odxf="1" dxf="1">
    <nc r="G387">
      <f>G388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4" sId="1" odxf="1" dxf="1">
    <nc r="H387">
      <f>H388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5" sId="1" odxf="1" dxf="1">
    <nc r="A388" t="inlineStr">
      <is>
        <t xml:space="preserve">Непрограммные расходы 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5986" sId="1" odxf="1" dxf="1">
    <nc r="B388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7" sId="1" odxf="1" dxf="1">
    <nc r="C388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8" sId="1" odxf="1" dxf="1">
    <nc r="D38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9" sId="1" odxf="1" dxf="1">
    <nc r="E38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88" start="0" length="0">
    <dxf>
      <font>
        <b/>
        <name val="Times New Roman"/>
        <family val="1"/>
      </font>
    </dxf>
  </rfmt>
  <rcc rId="5990" sId="1" odxf="1" dxf="1">
    <nc r="G388">
      <f>G389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1" sId="1" odxf="1" dxf="1">
    <nc r="H388">
      <f>H389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2" sId="1" odxf="1" dxf="1">
    <n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5993" sId="1" odxf="1" dxf="1">
    <nc r="B389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4" sId="1" odxf="1" dxf="1">
    <nc r="C389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5" sId="1" odxf="1" dxf="1">
    <nc r="D38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6" sId="1" odxf="1" dxf="1">
    <nc r="E389" t="inlineStr">
      <is>
        <t>99900 73180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9" start="0" length="0">
    <dxf>
      <font>
        <i/>
        <name val="Times New Roman"/>
        <family val="1"/>
      </font>
    </dxf>
  </rfmt>
  <rcc rId="5997" sId="1" odxf="1" dxf="1">
    <nc r="G389">
      <f>G390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8" sId="1" odxf="1" dxf="1">
    <nc r="H389">
      <f>H390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9" sId="1">
    <nc r="A390" t="inlineStr">
      <is>
        <t>Субсидии бюджетным учреждениям на иные цели</t>
      </is>
    </nc>
  </rcc>
  <rcc rId="6000" sId="1">
    <nc r="B390" t="inlineStr">
      <is>
        <t>975</t>
      </is>
    </nc>
  </rcc>
  <rcc rId="6001" sId="1">
    <nc r="C390" t="inlineStr">
      <is>
        <t>10</t>
      </is>
    </nc>
  </rcc>
  <rcc rId="6002" sId="1">
    <nc r="D390" t="inlineStr">
      <is>
        <t>03</t>
      </is>
    </nc>
  </rcc>
  <rcc rId="6003" sId="1">
    <nc r="E390" t="inlineStr">
      <is>
        <t>99900 73180</t>
      </is>
    </nc>
  </rcc>
  <rcc rId="6004" sId="1">
    <nc r="F390" t="inlineStr">
      <is>
        <t>612</t>
      </is>
    </nc>
  </rcc>
  <rcc rId="6005" sId="1" numFmtId="4">
    <nc r="G390">
      <v>233.1</v>
    </nc>
  </rcc>
  <rcc rId="6006" sId="1" numFmtId="4">
    <nc r="H390">
      <v>233.1</v>
    </nc>
  </rcc>
  <rcc rId="6007" sId="1">
    <nc r="I390">
      <v>233.1</v>
    </nc>
  </rcc>
  <rcc rId="6008" sId="1">
    <nc r="J390">
      <v>233.1</v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9" sId="1" ref="A391:XFD391" action="insertRow"/>
  <rcc rId="6010" sId="1" odxf="1" dxf="1">
    <oc r="A386" t="inlineStr">
      <is>
        <t>СОЦИАЛЬНАЯ ПОЛИТИКА</t>
      </is>
    </oc>
    <nc r="A386" t="inlineStr">
      <is>
        <t>Охрана семьи и детства</t>
      </is>
    </nc>
    <odxf>
      <fill>
        <patternFill>
          <bgColor indexed="15"/>
        </patternFill>
      </fill>
      <alignment horizontal="left"/>
    </odxf>
    <ndxf>
      <fill>
        <patternFill>
          <bgColor indexed="41"/>
        </patternFill>
      </fill>
      <alignment horizontal="general"/>
    </ndxf>
  </rcc>
  <rfmt sheetId="1" sqref="B386" start="0" length="0">
    <dxf>
      <fill>
        <patternFill>
          <bgColor indexed="41"/>
        </patternFill>
      </fill>
    </dxf>
  </rfmt>
  <rfmt sheetId="1" sqref="C386" start="0" length="0">
    <dxf>
      <fill>
        <patternFill>
          <bgColor indexed="41"/>
        </patternFill>
      </fill>
    </dxf>
  </rfmt>
  <rcc rId="6011" sId="1" odxf="1" dxf="1">
    <nc r="D386" t="inlineStr">
      <is>
        <t>04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386" start="0" length="0">
    <dxf>
      <fill>
        <patternFill>
          <bgColor indexed="41"/>
        </patternFill>
      </fill>
    </dxf>
  </rfmt>
  <rfmt sheetId="1" sqref="F386" start="0" length="0">
    <dxf>
      <fill>
        <patternFill>
          <bgColor indexed="41"/>
        </patternFill>
      </fill>
    </dxf>
  </rfmt>
  <rcc rId="6012" sId="1" odxf="1" dxf="1">
    <oc r="G386">
      <f>G387</f>
    </oc>
    <nc r="G386">
      <f>G387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13" sId="1" odxf="1" dxf="1">
    <oc r="A387" t="inlineStr">
      <is>
        <t>Социальное обеспечение населения</t>
      </is>
    </oc>
    <nc r="A38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ill>
        <patternFill patternType="solid">
          <bgColor indexed="41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fmt sheetId="1" sqref="B387" start="0" length="0">
    <dxf>
      <fill>
        <patternFill patternType="none">
          <bgColor indexed="65"/>
        </patternFill>
      </fill>
    </dxf>
  </rfmt>
  <rfmt sheetId="1" sqref="C387" start="0" length="0">
    <dxf>
      <fill>
        <patternFill patternType="none">
          <bgColor indexed="65"/>
        </patternFill>
      </fill>
    </dxf>
  </rfmt>
  <rcc rId="6014" sId="1" odxf="1" dxf="1">
    <oc r="D387" t="inlineStr">
      <is>
        <t>03</t>
      </is>
    </oc>
    <nc r="D387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5" sId="1" odxf="1" dxf="1">
    <nc r="E387" t="inlineStr">
      <is>
        <t>09000 00000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6016" sId="1" odxf="1" dxf="1">
    <oc r="G387">
      <f>G388</f>
    </oc>
    <nc r="G387">
      <f>G388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oc r="A388" t="inlineStr">
      <is>
        <t xml:space="preserve">Непрограммные расходы </t>
      </is>
    </oc>
    <nc r="A388" t="inlineStr">
      <is>
        <t>Подпрограмма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88" start="0" length="0">
    <dxf>
      <font>
        <i/>
        <name val="Times New Roman"/>
        <family val="1"/>
      </font>
    </dxf>
  </rfmt>
  <rfmt sheetId="1" sqref="C388" start="0" length="0">
    <dxf>
      <font>
        <i/>
        <name val="Times New Roman"/>
        <family val="1"/>
      </font>
    </dxf>
  </rfmt>
  <rcc rId="6018" sId="1" odxf="1" dxf="1">
    <oc r="D388" t="inlineStr">
      <is>
        <t>03</t>
      </is>
    </oc>
    <nc r="D3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9" sId="1" odxf="1" dxf="1">
    <oc r="E388" t="inlineStr">
      <is>
        <t>99900 00000</t>
      </is>
    </oc>
    <nc r="E388" t="inlineStr">
      <is>
        <t>09500 00000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8" start="0" length="0">
    <dxf>
      <font>
        <i/>
        <name val="Times New Roman"/>
        <family val="1"/>
      </font>
    </dxf>
  </rfmt>
  <rcc rId="6020" sId="1" odxf="1" dxf="1">
    <oc r="G388">
      <f>G389</f>
    </oc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>
    <o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389" t="inlineStr">
      <is>
        <t>Основное мероприятие «Обеспечение жильем молодых семей»</t>
      </is>
    </nc>
  </rcc>
  <rcc rId="6022" sId="1">
    <oc r="D389" t="inlineStr">
      <is>
        <t>03</t>
      </is>
    </oc>
    <nc r="D389" t="inlineStr">
      <is>
        <t>04</t>
      </is>
    </nc>
  </rcc>
  <rcc rId="6023" sId="1">
    <oc r="E389" t="inlineStr">
      <is>
        <t>99900 73180</t>
      </is>
    </oc>
    <nc r="E389" t="inlineStr">
      <is>
        <t>09501 00000</t>
      </is>
    </nc>
  </rcc>
  <rcc rId="6024" sId="1" odxf="1" dxf="1">
    <oc r="G389">
      <f>G390</f>
    </oc>
    <nc r="G389">
      <f>G390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25" sId="1" odxf="1" dxf="1">
    <oc r="A390" t="inlineStr">
      <is>
        <t>Субсидии бюджетным учреждениям на иные цели</t>
      </is>
    </oc>
    <nc r="A390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390" start="0" length="0">
    <dxf>
      <font>
        <i/>
        <name val="Times New Roman"/>
        <family val="1"/>
      </font>
    </dxf>
  </rfmt>
  <rfmt sheetId="1" sqref="C390" start="0" length="0">
    <dxf>
      <font>
        <i/>
        <name val="Times New Roman"/>
        <family val="1"/>
      </font>
    </dxf>
  </rfmt>
  <rcc rId="6026" sId="1" odxf="1" dxf="1">
    <oc r="D390" t="inlineStr">
      <is>
        <t>03</t>
      </is>
    </oc>
    <nc r="D39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7" sId="1" odxf="1" dxf="1">
    <oc r="E390" t="inlineStr">
      <is>
        <t>99900 73180</t>
      </is>
    </oc>
    <nc r="E390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8" sId="1" odxf="1" dxf="1">
    <oc r="F390" t="inlineStr">
      <is>
        <t>612</t>
      </is>
    </oc>
    <nc r="F39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9" sId="1" odxf="1" dxf="1" numFmtId="4">
    <oc r="G390">
      <v>233.1</v>
    </oc>
    <nc r="G390">
      <f>G391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30" sId="1" odxf="1" dxf="1">
    <nc r="A391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31" sId="1">
    <nc r="B391" t="inlineStr">
      <is>
        <t>975</t>
      </is>
    </nc>
  </rcc>
  <rcc rId="6032" sId="1">
    <nc r="C391" t="inlineStr">
      <is>
        <t>10</t>
      </is>
    </nc>
  </rcc>
  <rcc rId="6033" sId="1">
    <nc r="D391" t="inlineStr">
      <is>
        <t>04</t>
      </is>
    </nc>
  </rcc>
  <rcc rId="6034" sId="1">
    <nc r="E391" t="inlineStr">
      <is>
        <t>09501 L4970</t>
      </is>
    </nc>
  </rcc>
  <rcc rId="6035" sId="1" odxf="1" dxf="1">
    <nc r="F391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36" sId="1" odxf="1" dxf="1">
    <oc r="H386">
      <f>H387</f>
    </oc>
    <nc r="H386">
      <f>H387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37" sId="1" odxf="1" dxf="1">
    <oc r="H387">
      <f>H388</f>
    </oc>
    <nc r="H387">
      <f>H388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38" sId="1" odxf="1" dxf="1">
    <oc r="H388">
      <f>H389</f>
    </oc>
    <nc r="H388">
      <f>H389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9" sId="1" odxf="1" dxf="1">
    <oc r="H389">
      <f>H390</f>
    </oc>
    <nc r="H389">
      <f>H390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40" sId="1" odxf="1" dxf="1" numFmtId="4">
    <oc r="H390">
      <v>233.1</v>
    </oc>
    <nc r="H390">
      <f>H391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1" sId="1" numFmtId="4">
    <nc r="G391">
      <f>1394.8</f>
    </nc>
  </rcc>
  <rcc rId="6042" sId="1" numFmtId="4">
    <nc r="H391">
      <f>1412.6</f>
    </nc>
  </rcc>
  <rcc rId="6043" sId="1">
    <oc r="I390">
      <v>233.1</v>
    </oc>
    <nc r="I390">
      <v>1394.8</v>
    </nc>
  </rcc>
  <rcc rId="6044" sId="1">
    <oc r="J390">
      <v>233.1</v>
    </oc>
    <nc r="J390">
      <v>1412.6</v>
    </nc>
  </rcc>
  <rcc rId="6045" sId="1">
    <oc r="G381">
      <f>G382</f>
    </oc>
    <nc r="G381">
      <f>G382+G386</f>
    </nc>
  </rcc>
  <rcc rId="6046" sId="1">
    <oc r="H381">
      <f>H382</f>
    </oc>
    <nc r="H381">
      <f>H382+H386</f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7" sId="1">
    <oc r="G175">
      <f>16093.8+3797.5</f>
    </oc>
    <nc r="G175">
      <f>16093.8+3797.5+10000</f>
    </nc>
  </rcc>
  <rcc rId="6048" sId="1">
    <oc r="H175">
      <f>16093.8+3797.5</f>
    </oc>
    <nc r="H175">
      <f>16093.8+3797.5+10000</f>
    </nc>
  </rcc>
  <rcc rId="6049" sId="1">
    <oc r="G409">
      <f>21385</f>
    </oc>
    <nc r="G409">
      <f>21385-10000</f>
    </nc>
  </rcc>
  <rcc rId="6050" sId="1">
    <oc r="H409">
      <f>21385</f>
    </oc>
    <nc r="H409">
      <f>21385-10000</f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1" sId="1" numFmtId="4">
    <oc r="G354">
      <v>10978</v>
    </oc>
    <nc r="G354">
      <f>10978-5000</f>
    </nc>
  </rcc>
  <rcc rId="6052" sId="1" numFmtId="4">
    <oc r="H354">
      <v>10978</v>
    </oc>
    <nc r="H354">
      <f>10978-5000</f>
    </nc>
  </rcc>
  <rcc rId="6053" sId="1" numFmtId="4">
    <oc r="G355">
      <v>3315.4</v>
    </oc>
    <nc r="G355">
      <f>3315.4-1800</f>
    </nc>
  </rcc>
  <rcc rId="6054" sId="1" numFmtId="4">
    <oc r="H355">
      <v>3315.4</v>
    </oc>
    <nc r="H355">
      <f>3315.4-1800</f>
    </nc>
  </rcc>
  <rcc rId="6055" sId="1">
    <oc r="G211">
      <f>8525.8+179.8</f>
    </oc>
    <nc r="G211">
      <f>8525.8+179.8+3000</f>
    </nc>
  </rcc>
  <rcc rId="6056" sId="1">
    <oc r="G212">
      <f>15665+340.5</f>
    </oc>
    <nc r="G212">
      <f>15665+340.5+3800</f>
    </nc>
  </rcc>
  <rcc rId="6057" sId="1">
    <oc r="H211">
      <f>8525.8+179.8</f>
    </oc>
    <nc r="H211">
      <f>8525.8+179.8+3000</f>
    </nc>
  </rcc>
  <rcc rId="6058" sId="1">
    <oc r="H212">
      <f>15665+340.5</f>
    </oc>
    <nc r="H212">
      <f>15665+340.5+3800</f>
    </nc>
  </rcc>
  <rcc rId="6059" sId="1">
    <oc r="G336">
      <f>21670.6+1700</f>
    </oc>
    <nc r="G336">
      <f>21670.6+1700-10000</f>
    </nc>
  </rcc>
  <rcc rId="6060" sId="1">
    <oc r="H336">
      <f>21670.6+1700</f>
    </oc>
    <nc r="H336">
      <f>21670.6+1700-10000</f>
    </nc>
  </rcc>
  <rcc rId="6061" sId="1">
    <oc r="G248">
      <f>1969.3+1082.2</f>
    </oc>
    <nc r="G248">
      <f>1969.3+1082.2+7700</f>
    </nc>
  </rcc>
  <rcc rId="6062" sId="1">
    <oc r="H248">
      <f>1969.3+1082.2</f>
    </oc>
    <nc r="H248">
      <f>1969.3+1082.2+7700</f>
    </nc>
  </rcc>
  <rcc rId="6063" sId="1">
    <oc r="G249">
      <f>594.7+326.8</f>
    </oc>
    <nc r="G249">
      <f>594.7+326.8+2300</f>
    </nc>
  </rcc>
  <rcc rId="6064" sId="1">
    <oc r="H249">
      <f>594.7+326.8</f>
    </oc>
    <nc r="H249">
      <f>594.7+326.8+2300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65" sId="1">
    <oc r="G330">
      <f>13032.1+500+1000</f>
    </oc>
    <nc r="G330">
      <f>13032.1+500+1000-4000</f>
    </nc>
  </rcc>
  <rcc rId="6066" sId="1">
    <oc r="H330">
      <f>13032.1+500+1000</f>
    </oc>
    <nc r="H330">
      <f>13032.1+500+1000-4000</f>
    </nc>
  </rcc>
  <rcc rId="6067" sId="1">
    <oc r="G321">
      <f>15442.2+1500+1000</f>
    </oc>
    <nc r="G321">
      <f>15442.2+1500+1000-7000</f>
    </nc>
  </rcc>
  <rcc rId="6068" sId="1">
    <oc r="H321">
      <f>15442.2+1500+1000</f>
    </oc>
    <nc r="H321">
      <f>15442.2+1500+1000-7000</f>
    </nc>
  </rcc>
  <rcc rId="6069" sId="1">
    <oc r="G175">
      <f>16093.8+3797.5+10000</f>
    </oc>
    <nc r="G175">
      <f>16093.8+3797.5+10000+4000+7000</f>
    </nc>
  </rcc>
  <rcc rId="6070" sId="1">
    <oc r="H175">
      <f>16093.8+3797.5+10000</f>
    </oc>
    <nc r="H175">
      <f>16093.8+3797.5+10000+4000+7000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1" sId="1">
    <oc r="G175">
      <f>16093.8+3797.5+10000+4000+7000</f>
    </oc>
    <nc r="G175">
      <f>16093.8+3797.5+10000+4000+7000-3895.619</f>
    </nc>
  </rcc>
  <rcc rId="6072" sId="1">
    <oc r="H175">
      <f>16093.8+3797.5+10000+4000+7000</f>
    </oc>
    <nc r="H175">
      <f>16093.8+3797.5+10000+4000+7000-7214.463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3" sId="1">
    <oc r="G391">
      <f>1394.8</f>
    </oc>
    <nc r="G391">
      <f>1394.8+341.42509</f>
    </nc>
  </rcc>
  <rcc rId="6074" sId="1">
    <oc r="H391">
      <f>1412.6</f>
    </oc>
    <nc r="H391">
      <f>1412.6+345.78224</f>
    </nc>
  </rcc>
  <rcc rId="6075" sId="1">
    <oc r="G409">
      <f>21385-10000</f>
    </oc>
    <nc r="G409">
      <f>21385-10000-341.42509</f>
    </nc>
  </rcc>
  <rcc rId="6076" sId="1">
    <oc r="H409">
      <f>21385-10000</f>
    </oc>
    <nc r="H409">
      <f>21385-10000-345.78224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7" sId="1" numFmtId="4">
    <oc r="G251">
      <v>300</v>
    </oc>
    <nc r="G251">
      <f>300+0.0005</f>
    </nc>
  </rcc>
  <rcc rId="6078" sId="1" numFmtId="4">
    <oc r="H251">
      <v>300</v>
    </oc>
    <nc r="H251">
      <f>300-0.0001</f>
    </nc>
  </rcc>
  <rcc rId="6079" sId="1" odxf="1" dxf="1">
    <oc r="G478">
      <f>16866.5+16.8665</f>
    </oc>
    <nc r="G478">
      <f>16866.5+16.866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cc rId="6080" sId="1" odxf="1" dxf="1">
    <oc r="H478">
      <f>16183.9+16.1839</f>
    </oc>
    <nc r="H478">
      <f>16183.9+16.184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01:H401">
    <dxf>
      <fill>
        <patternFill>
          <bgColor theme="0"/>
        </patternFill>
      </fill>
    </dxf>
  </rfmt>
  <rfmt sheetId="1" sqref="G384:H384">
    <dxf>
      <fill>
        <patternFill>
          <bgColor theme="0"/>
        </patternFill>
      </fill>
    </dxf>
  </rfmt>
  <rfmt sheetId="1" sqref="G375:H375">
    <dxf>
      <fill>
        <patternFill>
          <bgColor theme="0"/>
        </patternFill>
      </fill>
    </dxf>
  </rfmt>
  <rfmt sheetId="1" sqref="G366:H366">
    <dxf>
      <fill>
        <patternFill>
          <bgColor theme="0"/>
        </patternFill>
      </fill>
    </dxf>
  </rfmt>
  <rfmt sheetId="1" sqref="G331:H337">
    <dxf>
      <fill>
        <patternFill>
          <bgColor theme="0"/>
        </patternFill>
      </fill>
    </dxf>
  </rfmt>
  <rfmt sheetId="1" sqref="G322:H322">
    <dxf>
      <fill>
        <patternFill>
          <bgColor theme="0"/>
        </patternFill>
      </fill>
    </dxf>
  </rfmt>
  <rfmt sheetId="1" sqref="G312:H312">
    <dxf>
      <fill>
        <patternFill>
          <bgColor theme="0"/>
        </patternFill>
      </fill>
    </dxf>
  </rfmt>
  <rfmt sheetId="1" sqref="G303:H303">
    <dxf>
      <fill>
        <patternFill>
          <bgColor theme="0"/>
        </patternFill>
      </fill>
    </dxf>
  </rfmt>
  <rfmt sheetId="1" sqref="G285:H285">
    <dxf>
      <fill>
        <patternFill>
          <bgColor theme="0"/>
        </patternFill>
      </fill>
    </dxf>
  </rfmt>
  <rfmt sheetId="1" sqref="G265:H265">
    <dxf>
      <fill>
        <patternFill>
          <bgColor theme="0"/>
        </patternFill>
      </fill>
    </dxf>
  </rfmt>
  <rfmt sheetId="1" sqref="G237:H242">
    <dxf>
      <fill>
        <patternFill>
          <bgColor theme="0"/>
        </patternFill>
      </fill>
    </dxf>
  </rfmt>
  <rfmt sheetId="1" sqref="G220:H220">
    <dxf>
      <fill>
        <patternFill>
          <bgColor theme="0"/>
        </patternFill>
      </fill>
    </dxf>
  </rfmt>
  <rfmt sheetId="1" sqref="G226:H230">
    <dxf>
      <fill>
        <patternFill>
          <bgColor theme="0"/>
        </patternFill>
      </fill>
    </dxf>
  </rfmt>
  <rfmt sheetId="1" sqref="G204:H204">
    <dxf>
      <fill>
        <patternFill>
          <bgColor theme="0"/>
        </patternFill>
      </fill>
    </dxf>
  </rfmt>
  <rfmt sheetId="1" sqref="G213:H213">
    <dxf>
      <fill>
        <patternFill>
          <bgColor theme="0"/>
        </patternFill>
      </fill>
    </dxf>
  </rfmt>
  <rfmt sheetId="1" sqref="G188:H198">
    <dxf>
      <fill>
        <patternFill>
          <bgColor theme="0"/>
        </patternFill>
      </fill>
    </dxf>
  </rfmt>
  <rfmt sheetId="1" sqref="G180:H184">
    <dxf>
      <fill>
        <patternFill>
          <bgColor theme="0"/>
        </patternFill>
      </fill>
    </dxf>
  </rfmt>
  <rfmt sheetId="1" sqref="G168:H172">
    <dxf>
      <fill>
        <patternFill>
          <bgColor theme="0"/>
        </patternFill>
      </fill>
    </dxf>
  </rfmt>
  <rfmt sheetId="1" sqref="G147:H157">
    <dxf>
      <fill>
        <patternFill>
          <bgColor theme="0"/>
        </patternFill>
      </fill>
    </dxf>
  </rfmt>
  <rfmt sheetId="1" sqref="G143:H143">
    <dxf>
      <fill>
        <patternFill>
          <bgColor theme="0"/>
        </patternFill>
      </fill>
    </dxf>
  </rfmt>
  <rfmt sheetId="1" sqref="G127:H127">
    <dxf>
      <fill>
        <patternFill>
          <bgColor theme="0"/>
        </patternFill>
      </fill>
    </dxf>
  </rfmt>
  <rfmt sheetId="1" sqref="G132:H132">
    <dxf>
      <fill>
        <patternFill>
          <bgColor theme="0"/>
        </patternFill>
      </fill>
    </dxf>
  </rfmt>
  <rfmt sheetId="1" sqref="G115:H115">
    <dxf>
      <fill>
        <patternFill>
          <bgColor theme="0"/>
        </patternFill>
      </fill>
    </dxf>
  </rfmt>
  <rfmt sheetId="1" sqref="G83:H89">
    <dxf>
      <fill>
        <patternFill>
          <bgColor theme="0"/>
        </patternFill>
      </fill>
    </dxf>
  </rfmt>
  <rfmt sheetId="1" sqref="G78:H78">
    <dxf>
      <fill>
        <patternFill>
          <bgColor theme="0"/>
        </patternFill>
      </fill>
    </dxf>
  </rfmt>
  <rfmt sheetId="1" sqref="G44:H44">
    <dxf>
      <fill>
        <patternFill>
          <bgColor theme="0"/>
        </patternFill>
      </fill>
    </dxf>
  </rfmt>
  <rfmt sheetId="1" sqref="G435:H440">
    <dxf>
      <fill>
        <patternFill>
          <bgColor theme="0"/>
        </patternFill>
      </fill>
    </dxf>
  </rfmt>
  <rfmt sheetId="1" sqref="G463:H466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504"/>
  <sheetViews>
    <sheetView tabSelected="1" view="pageBreakPreview" topLeftCell="A184" zoomScaleNormal="100" zoomScaleSheetLayoutView="100" workbookViewId="0">
      <selection activeCell="K509" sqref="K509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0.42578125" style="1" customWidth="1"/>
    <col min="10" max="10" width="10" style="1" bestFit="1" customWidth="1"/>
    <col min="11" max="16384" width="9.140625" style="1"/>
  </cols>
  <sheetData>
    <row r="1" spans="1:8" ht="12.75" customHeight="1">
      <c r="A1" s="45"/>
      <c r="B1" s="45"/>
      <c r="C1" s="45"/>
      <c r="D1" s="2"/>
      <c r="E1" s="2"/>
      <c r="F1" s="33"/>
      <c r="G1" s="3"/>
      <c r="H1" s="3" t="s">
        <v>374</v>
      </c>
    </row>
    <row r="2" spans="1:8" ht="12.75" customHeight="1">
      <c r="A2" s="45"/>
      <c r="B2" s="45"/>
      <c r="C2" s="45"/>
      <c r="D2" s="2"/>
      <c r="E2" s="2"/>
      <c r="F2" s="102"/>
      <c r="G2" s="103"/>
      <c r="H2" s="103" t="s">
        <v>233</v>
      </c>
    </row>
    <row r="3" spans="1:8" ht="12.75" customHeight="1">
      <c r="A3" s="45"/>
      <c r="B3" s="45"/>
      <c r="C3" s="2"/>
      <c r="D3" s="2"/>
      <c r="E3" s="33"/>
      <c r="F3" s="102"/>
      <c r="G3" s="103"/>
      <c r="H3" s="103" t="s">
        <v>234</v>
      </c>
    </row>
    <row r="4" spans="1:8" ht="12.75" customHeight="1">
      <c r="A4" s="45"/>
      <c r="B4" s="45"/>
      <c r="C4" s="2"/>
      <c r="D4" s="2"/>
      <c r="E4" s="33"/>
      <c r="F4" s="102"/>
      <c r="G4" s="103"/>
      <c r="H4" s="103" t="s">
        <v>57</v>
      </c>
    </row>
    <row r="5" spans="1:8" ht="12.75" customHeight="1">
      <c r="A5" s="45"/>
      <c r="B5" s="45"/>
      <c r="C5" s="2"/>
      <c r="D5" s="2"/>
      <c r="E5" s="33"/>
      <c r="F5" s="102"/>
      <c r="G5" s="103"/>
      <c r="H5" s="125" t="s">
        <v>510</v>
      </c>
    </row>
    <row r="6" spans="1:8" ht="12.75" customHeight="1">
      <c r="A6" s="45"/>
      <c r="B6" s="45"/>
      <c r="C6" s="2"/>
      <c r="D6" s="2"/>
      <c r="E6" s="33"/>
      <c r="F6" s="126" t="s">
        <v>511</v>
      </c>
      <c r="G6" s="126"/>
      <c r="H6" s="126"/>
    </row>
    <row r="7" spans="1:8" ht="12.75" customHeight="1">
      <c r="A7" s="45"/>
      <c r="B7" s="45"/>
      <c r="C7" s="2"/>
      <c r="D7" s="2"/>
      <c r="E7" s="33"/>
      <c r="F7" s="102"/>
      <c r="G7" s="103"/>
      <c r="H7" s="3" t="s">
        <v>512</v>
      </c>
    </row>
    <row r="8" spans="1:8" ht="12.75" customHeight="1">
      <c r="A8" s="45"/>
      <c r="B8" s="45"/>
      <c r="C8" s="2"/>
      <c r="D8" s="2"/>
      <c r="E8" s="33"/>
      <c r="F8" s="33"/>
    </row>
    <row r="9" spans="1:8" ht="12.75" customHeight="1">
      <c r="A9" s="45"/>
      <c r="B9" s="45"/>
      <c r="C9" s="2"/>
      <c r="D9" s="2"/>
      <c r="E9" s="33"/>
      <c r="F9" s="33"/>
    </row>
    <row r="10" spans="1:8" ht="18.75" customHeight="1">
      <c r="A10" s="132" t="s">
        <v>513</v>
      </c>
      <c r="B10" s="132"/>
      <c r="C10" s="132"/>
      <c r="D10" s="132"/>
      <c r="E10" s="132"/>
      <c r="F10" s="132"/>
      <c r="G10" s="132"/>
      <c r="H10" s="132"/>
    </row>
    <row r="11" spans="1:8" ht="18.75" customHeight="1">
      <c r="A11" s="82"/>
      <c r="B11" s="82"/>
      <c r="C11" s="82"/>
      <c r="D11" s="82"/>
      <c r="E11" s="82"/>
      <c r="F11" s="82"/>
      <c r="G11" s="82"/>
      <c r="H11" s="82"/>
    </row>
    <row r="12" spans="1:8" ht="15.75">
      <c r="A12" s="46"/>
      <c r="B12" s="46"/>
      <c r="C12" s="46"/>
      <c r="D12" s="46"/>
      <c r="E12" s="46"/>
      <c r="F12" s="46"/>
      <c r="G12" s="47"/>
      <c r="H12" s="47" t="s">
        <v>116</v>
      </c>
    </row>
    <row r="13" spans="1:8" ht="12.75" customHeight="1">
      <c r="A13" s="129" t="s">
        <v>22</v>
      </c>
      <c r="B13" s="127" t="s">
        <v>100</v>
      </c>
      <c r="C13" s="127" t="s">
        <v>37</v>
      </c>
      <c r="D13" s="128"/>
      <c r="E13" s="128"/>
      <c r="F13" s="128"/>
      <c r="G13" s="130" t="s">
        <v>361</v>
      </c>
      <c r="H13" s="131"/>
    </row>
    <row r="14" spans="1:8" ht="25.5">
      <c r="A14" s="129"/>
      <c r="B14" s="127"/>
      <c r="C14" s="48" t="s">
        <v>33</v>
      </c>
      <c r="D14" s="48" t="s">
        <v>34</v>
      </c>
      <c r="E14" s="48" t="s">
        <v>35</v>
      </c>
      <c r="F14" s="48" t="s">
        <v>36</v>
      </c>
      <c r="G14" s="81">
        <v>2026</v>
      </c>
      <c r="H14" s="81">
        <v>2027</v>
      </c>
    </row>
    <row r="15" spans="1:8" ht="25.5">
      <c r="A15" s="49" t="s">
        <v>56</v>
      </c>
      <c r="B15" s="50">
        <v>845</v>
      </c>
      <c r="C15" s="50"/>
      <c r="D15" s="50"/>
      <c r="E15" s="50"/>
      <c r="F15" s="50"/>
      <c r="G15" s="51">
        <f t="shared" ref="G15:H17" si="0">G16</f>
        <v>5758.2</v>
      </c>
      <c r="H15" s="51">
        <f t="shared" si="0"/>
        <v>5758.2</v>
      </c>
    </row>
    <row r="16" spans="1:8">
      <c r="A16" s="34" t="s">
        <v>82</v>
      </c>
      <c r="B16" s="9">
        <v>845</v>
      </c>
      <c r="C16" s="9" t="s">
        <v>23</v>
      </c>
      <c r="D16" s="9"/>
      <c r="E16" s="9"/>
      <c r="F16" s="9"/>
      <c r="G16" s="52">
        <f t="shared" si="0"/>
        <v>5758.2</v>
      </c>
      <c r="H16" s="52">
        <f t="shared" si="0"/>
        <v>5758.2</v>
      </c>
    </row>
    <row r="17" spans="1:8" ht="38.25">
      <c r="A17" s="28" t="s">
        <v>99</v>
      </c>
      <c r="B17" s="8">
        <v>845</v>
      </c>
      <c r="C17" s="8" t="s">
        <v>23</v>
      </c>
      <c r="D17" s="8" t="s">
        <v>38</v>
      </c>
      <c r="E17" s="8"/>
      <c r="F17" s="8"/>
      <c r="G17" s="53">
        <f t="shared" si="0"/>
        <v>5758.2</v>
      </c>
      <c r="H17" s="53">
        <f t="shared" si="0"/>
        <v>5758.2</v>
      </c>
    </row>
    <row r="18" spans="1:8">
      <c r="A18" s="35" t="s">
        <v>118</v>
      </c>
      <c r="B18" s="10">
        <v>845</v>
      </c>
      <c r="C18" s="10" t="s">
        <v>23</v>
      </c>
      <c r="D18" s="10" t="s">
        <v>38</v>
      </c>
      <c r="E18" s="10" t="s">
        <v>142</v>
      </c>
      <c r="F18" s="10"/>
      <c r="G18" s="54">
        <f>G19</f>
        <v>5758.2</v>
      </c>
      <c r="H18" s="54">
        <f>H19</f>
        <v>5758.2</v>
      </c>
    </row>
    <row r="19" spans="1:8" s="42" customFormat="1" ht="38.25">
      <c r="A19" s="18" t="s">
        <v>53</v>
      </c>
      <c r="B19" s="10">
        <v>845</v>
      </c>
      <c r="C19" s="10" t="s">
        <v>23</v>
      </c>
      <c r="D19" s="10" t="s">
        <v>38</v>
      </c>
      <c r="E19" s="10" t="s">
        <v>147</v>
      </c>
      <c r="F19" s="10"/>
      <c r="G19" s="54">
        <f>G20+G25</f>
        <v>5758.2</v>
      </c>
      <c r="H19" s="54">
        <f>H20+H25</f>
        <v>5758.2</v>
      </c>
    </row>
    <row r="20" spans="1:8" ht="25.5">
      <c r="A20" s="29" t="s">
        <v>104</v>
      </c>
      <c r="B20" s="4">
        <v>845</v>
      </c>
      <c r="C20" s="4" t="s">
        <v>23</v>
      </c>
      <c r="D20" s="4" t="s">
        <v>38</v>
      </c>
      <c r="E20" s="4" t="s">
        <v>148</v>
      </c>
      <c r="F20" s="4"/>
      <c r="G20" s="5">
        <f>SUM(G21:G24)</f>
        <v>2735.5</v>
      </c>
      <c r="H20" s="5">
        <f>SUM(H21:H24)</f>
        <v>2735.5</v>
      </c>
    </row>
    <row r="21" spans="1:8" ht="25.5">
      <c r="A21" s="14" t="s">
        <v>140</v>
      </c>
      <c r="B21" s="6">
        <v>845</v>
      </c>
      <c r="C21" s="6" t="s">
        <v>23</v>
      </c>
      <c r="D21" s="6" t="s">
        <v>38</v>
      </c>
      <c r="E21" s="6" t="s">
        <v>148</v>
      </c>
      <c r="F21" s="6" t="s">
        <v>73</v>
      </c>
      <c r="G21" s="85">
        <v>1690.1</v>
      </c>
      <c r="H21" s="85">
        <v>1690.1</v>
      </c>
    </row>
    <row r="22" spans="1:8" ht="38.25">
      <c r="A22" s="14" t="s">
        <v>141</v>
      </c>
      <c r="B22" s="6">
        <v>845</v>
      </c>
      <c r="C22" s="6" t="s">
        <v>23</v>
      </c>
      <c r="D22" s="6" t="s">
        <v>38</v>
      </c>
      <c r="E22" s="6" t="s">
        <v>148</v>
      </c>
      <c r="F22" s="6" t="s">
        <v>134</v>
      </c>
      <c r="G22" s="85">
        <v>510.4</v>
      </c>
      <c r="H22" s="85">
        <v>510.4</v>
      </c>
    </row>
    <row r="23" spans="1:8" ht="25.5">
      <c r="A23" s="36" t="s">
        <v>74</v>
      </c>
      <c r="B23" s="6">
        <v>845</v>
      </c>
      <c r="C23" s="6" t="s">
        <v>23</v>
      </c>
      <c r="D23" s="6" t="s">
        <v>38</v>
      </c>
      <c r="E23" s="6" t="s">
        <v>148</v>
      </c>
      <c r="F23" s="6" t="s">
        <v>75</v>
      </c>
      <c r="G23" s="85">
        <v>35</v>
      </c>
      <c r="H23" s="85">
        <v>35</v>
      </c>
    </row>
    <row r="24" spans="1:8" ht="25.5">
      <c r="A24" s="36" t="s">
        <v>76</v>
      </c>
      <c r="B24" s="6">
        <v>845</v>
      </c>
      <c r="C24" s="6" t="s">
        <v>23</v>
      </c>
      <c r="D24" s="6" t="s">
        <v>38</v>
      </c>
      <c r="E24" s="6" t="s">
        <v>148</v>
      </c>
      <c r="F24" s="6" t="s">
        <v>77</v>
      </c>
      <c r="G24" s="85">
        <v>500</v>
      </c>
      <c r="H24" s="85">
        <v>500</v>
      </c>
    </row>
    <row r="25" spans="1:8" ht="25.5">
      <c r="A25" s="29" t="s">
        <v>120</v>
      </c>
      <c r="B25" s="4">
        <v>845</v>
      </c>
      <c r="C25" s="4" t="s">
        <v>23</v>
      </c>
      <c r="D25" s="4" t="s">
        <v>38</v>
      </c>
      <c r="E25" s="4" t="s">
        <v>149</v>
      </c>
      <c r="F25" s="4"/>
      <c r="G25" s="5">
        <f>SUM(G26:G27)</f>
        <v>3022.7</v>
      </c>
      <c r="H25" s="5">
        <f>SUM(H26:H27)</f>
        <v>3022.7</v>
      </c>
    </row>
    <row r="26" spans="1:8" ht="25.5">
      <c r="A26" s="14" t="s">
        <v>140</v>
      </c>
      <c r="B26" s="6">
        <v>845</v>
      </c>
      <c r="C26" s="6" t="s">
        <v>23</v>
      </c>
      <c r="D26" s="6" t="s">
        <v>38</v>
      </c>
      <c r="E26" s="6" t="s">
        <v>149</v>
      </c>
      <c r="F26" s="6" t="s">
        <v>73</v>
      </c>
      <c r="G26" s="20">
        <v>2321.6</v>
      </c>
      <c r="H26" s="20">
        <v>2321.6</v>
      </c>
    </row>
    <row r="27" spans="1:8" ht="38.25">
      <c r="A27" s="14" t="s">
        <v>141</v>
      </c>
      <c r="B27" s="6">
        <v>845</v>
      </c>
      <c r="C27" s="6" t="s">
        <v>23</v>
      </c>
      <c r="D27" s="6" t="s">
        <v>38</v>
      </c>
      <c r="E27" s="6" t="s">
        <v>149</v>
      </c>
      <c r="F27" s="6" t="s">
        <v>134</v>
      </c>
      <c r="G27" s="20">
        <v>701.1</v>
      </c>
      <c r="H27" s="20">
        <v>701.1</v>
      </c>
    </row>
    <row r="28" spans="1:8" ht="25.5">
      <c r="A28" s="49" t="s">
        <v>54</v>
      </c>
      <c r="B28" s="50">
        <v>968</v>
      </c>
      <c r="C28" s="50"/>
      <c r="D28" s="50"/>
      <c r="E28" s="50"/>
      <c r="F28" s="50"/>
      <c r="G28" s="51">
        <f>G29+G104+G110+G129+G134</f>
        <v>185999.41500000001</v>
      </c>
      <c r="H28" s="51">
        <f>H29+H104+H110+H129+H134</f>
        <v>192786.47999999998</v>
      </c>
    </row>
    <row r="29" spans="1:8">
      <c r="A29" s="34" t="s">
        <v>82</v>
      </c>
      <c r="B29" s="9">
        <v>968</v>
      </c>
      <c r="C29" s="9" t="s">
        <v>23</v>
      </c>
      <c r="D29" s="9"/>
      <c r="E29" s="9"/>
      <c r="F29" s="9"/>
      <c r="G29" s="52">
        <f>G30+G36+G46+G50+G42</f>
        <v>77528.477320000005</v>
      </c>
      <c r="H29" s="52">
        <f>H30+H36+H46+H50+H42</f>
        <v>75171.099999999991</v>
      </c>
    </row>
    <row r="30" spans="1:8" ht="25.5">
      <c r="A30" s="24" t="s">
        <v>63</v>
      </c>
      <c r="B30" s="8" t="s">
        <v>121</v>
      </c>
      <c r="C30" s="8" t="s">
        <v>23</v>
      </c>
      <c r="D30" s="8" t="s">
        <v>25</v>
      </c>
      <c r="E30" s="8"/>
      <c r="F30" s="8"/>
      <c r="G30" s="53">
        <f t="shared" ref="G30:H32" si="1">G31</f>
        <v>3778.3</v>
      </c>
      <c r="H30" s="53">
        <f t="shared" si="1"/>
        <v>3778.3</v>
      </c>
    </row>
    <row r="31" spans="1:8">
      <c r="A31" s="18" t="s">
        <v>118</v>
      </c>
      <c r="B31" s="10" t="s">
        <v>121</v>
      </c>
      <c r="C31" s="10" t="s">
        <v>23</v>
      </c>
      <c r="D31" s="10" t="s">
        <v>25</v>
      </c>
      <c r="E31" s="10" t="s">
        <v>142</v>
      </c>
      <c r="F31" s="10"/>
      <c r="G31" s="54">
        <f t="shared" si="1"/>
        <v>3778.3</v>
      </c>
      <c r="H31" s="54">
        <f t="shared" si="1"/>
        <v>3778.3</v>
      </c>
    </row>
    <row r="32" spans="1:8" s="42" customFormat="1" ht="38.25">
      <c r="A32" s="18" t="s">
        <v>53</v>
      </c>
      <c r="B32" s="10" t="s">
        <v>121</v>
      </c>
      <c r="C32" s="10" t="s">
        <v>23</v>
      </c>
      <c r="D32" s="10" t="s">
        <v>25</v>
      </c>
      <c r="E32" s="10" t="s">
        <v>147</v>
      </c>
      <c r="F32" s="10"/>
      <c r="G32" s="54">
        <f t="shared" si="1"/>
        <v>3778.3</v>
      </c>
      <c r="H32" s="54">
        <f t="shared" si="1"/>
        <v>3778.3</v>
      </c>
    </row>
    <row r="33" spans="1:10" s="41" customFormat="1" ht="25.5">
      <c r="A33" s="29" t="s">
        <v>111</v>
      </c>
      <c r="B33" s="4" t="s">
        <v>121</v>
      </c>
      <c r="C33" s="4" t="s">
        <v>23</v>
      </c>
      <c r="D33" s="4" t="s">
        <v>25</v>
      </c>
      <c r="E33" s="4" t="s">
        <v>151</v>
      </c>
      <c r="F33" s="4"/>
      <c r="G33" s="5">
        <f>SUM(G34:G35)</f>
        <v>3778.3</v>
      </c>
      <c r="H33" s="5">
        <f>SUM(H34:H35)</f>
        <v>3778.3</v>
      </c>
    </row>
    <row r="34" spans="1:10" ht="25.5">
      <c r="A34" s="14" t="s">
        <v>140</v>
      </c>
      <c r="B34" s="6" t="s">
        <v>121</v>
      </c>
      <c r="C34" s="6" t="s">
        <v>23</v>
      </c>
      <c r="D34" s="6" t="s">
        <v>25</v>
      </c>
      <c r="E34" s="6" t="s">
        <v>151</v>
      </c>
      <c r="F34" s="6" t="s">
        <v>73</v>
      </c>
      <c r="G34" s="20">
        <v>2901.9</v>
      </c>
      <c r="H34" s="20">
        <v>2901.9</v>
      </c>
    </row>
    <row r="35" spans="1:10" ht="38.25">
      <c r="A35" s="14" t="s">
        <v>141</v>
      </c>
      <c r="B35" s="6" t="s">
        <v>121</v>
      </c>
      <c r="C35" s="6" t="s">
        <v>23</v>
      </c>
      <c r="D35" s="6" t="s">
        <v>25</v>
      </c>
      <c r="E35" s="6" t="s">
        <v>151</v>
      </c>
      <c r="F35" s="6" t="s">
        <v>134</v>
      </c>
      <c r="G35" s="20">
        <v>876.4</v>
      </c>
      <c r="H35" s="20">
        <v>876.4</v>
      </c>
    </row>
    <row r="36" spans="1:10" ht="38.25">
      <c r="A36" s="24" t="s">
        <v>59</v>
      </c>
      <c r="B36" s="8">
        <v>968</v>
      </c>
      <c r="C36" s="8" t="s">
        <v>23</v>
      </c>
      <c r="D36" s="8" t="s">
        <v>26</v>
      </c>
      <c r="E36" s="8"/>
      <c r="F36" s="8"/>
      <c r="G36" s="53">
        <f t="shared" ref="G36:H38" si="2">G37</f>
        <v>18589.04232</v>
      </c>
      <c r="H36" s="53">
        <f t="shared" si="2"/>
        <v>18674.599999999999</v>
      </c>
    </row>
    <row r="37" spans="1:10">
      <c r="A37" s="35" t="s">
        <v>118</v>
      </c>
      <c r="B37" s="10" t="s">
        <v>121</v>
      </c>
      <c r="C37" s="10" t="s">
        <v>23</v>
      </c>
      <c r="D37" s="10" t="s">
        <v>26</v>
      </c>
      <c r="E37" s="10" t="s">
        <v>142</v>
      </c>
      <c r="F37" s="10"/>
      <c r="G37" s="54">
        <f t="shared" si="2"/>
        <v>18589.04232</v>
      </c>
      <c r="H37" s="54">
        <f t="shared" si="2"/>
        <v>18674.599999999999</v>
      </c>
    </row>
    <row r="38" spans="1:10" s="42" customFormat="1" ht="38.25">
      <c r="A38" s="18" t="s">
        <v>53</v>
      </c>
      <c r="B38" s="10">
        <v>968</v>
      </c>
      <c r="C38" s="10" t="s">
        <v>39</v>
      </c>
      <c r="D38" s="10" t="s">
        <v>26</v>
      </c>
      <c r="E38" s="10" t="s">
        <v>147</v>
      </c>
      <c r="F38" s="10"/>
      <c r="G38" s="54">
        <f t="shared" si="2"/>
        <v>18589.04232</v>
      </c>
      <c r="H38" s="54">
        <f t="shared" si="2"/>
        <v>18674.599999999999</v>
      </c>
    </row>
    <row r="39" spans="1:10" ht="25.5">
      <c r="A39" s="25" t="s">
        <v>104</v>
      </c>
      <c r="B39" s="4">
        <v>968</v>
      </c>
      <c r="C39" s="4" t="s">
        <v>23</v>
      </c>
      <c r="D39" s="4" t="s">
        <v>26</v>
      </c>
      <c r="E39" s="4" t="s">
        <v>148</v>
      </c>
      <c r="F39" s="4"/>
      <c r="G39" s="5">
        <f>SUM(G40:G41)</f>
        <v>18589.04232</v>
      </c>
      <c r="H39" s="5">
        <f>SUM(H40:H41)</f>
        <v>18674.599999999999</v>
      </c>
    </row>
    <row r="40" spans="1:10" ht="25.5">
      <c r="A40" s="14" t="s">
        <v>140</v>
      </c>
      <c r="B40" s="6">
        <v>968</v>
      </c>
      <c r="C40" s="6" t="s">
        <v>23</v>
      </c>
      <c r="D40" s="6" t="s">
        <v>26</v>
      </c>
      <c r="E40" s="6" t="s">
        <v>148</v>
      </c>
      <c r="F40" s="6" t="s">
        <v>73</v>
      </c>
      <c r="G40" s="20">
        <f>14343-65.7</f>
        <v>14277.3</v>
      </c>
      <c r="H40" s="20">
        <v>14343</v>
      </c>
    </row>
    <row r="41" spans="1:10" ht="38.25">
      <c r="A41" s="14" t="s">
        <v>141</v>
      </c>
      <c r="B41" s="6">
        <v>968</v>
      </c>
      <c r="C41" s="6" t="s">
        <v>23</v>
      </c>
      <c r="D41" s="6" t="s">
        <v>26</v>
      </c>
      <c r="E41" s="6" t="s">
        <v>148</v>
      </c>
      <c r="F41" s="6" t="s">
        <v>134</v>
      </c>
      <c r="G41" s="20">
        <f>4331.6-19.85768</f>
        <v>4311.7423200000003</v>
      </c>
      <c r="H41" s="20">
        <v>4331.6000000000004</v>
      </c>
    </row>
    <row r="42" spans="1:10">
      <c r="A42" s="24" t="s">
        <v>307</v>
      </c>
      <c r="B42" s="8">
        <v>968</v>
      </c>
      <c r="C42" s="8" t="s">
        <v>23</v>
      </c>
      <c r="D42" s="8" t="s">
        <v>28</v>
      </c>
      <c r="E42" s="8"/>
      <c r="F42" s="8"/>
      <c r="G42" s="53">
        <f t="shared" ref="G42:H44" si="3">G43</f>
        <v>359.1</v>
      </c>
      <c r="H42" s="53">
        <f t="shared" si="3"/>
        <v>45.9</v>
      </c>
    </row>
    <row r="43" spans="1:10">
      <c r="A43" s="18" t="s">
        <v>118</v>
      </c>
      <c r="B43" s="10" t="s">
        <v>121</v>
      </c>
      <c r="C43" s="10" t="s">
        <v>23</v>
      </c>
      <c r="D43" s="10" t="s">
        <v>28</v>
      </c>
      <c r="E43" s="10" t="s">
        <v>142</v>
      </c>
      <c r="F43" s="10"/>
      <c r="G43" s="54">
        <f t="shared" si="3"/>
        <v>359.1</v>
      </c>
      <c r="H43" s="54">
        <f t="shared" si="3"/>
        <v>45.9</v>
      </c>
    </row>
    <row r="44" spans="1:10" ht="38.25">
      <c r="A44" s="30" t="s">
        <v>308</v>
      </c>
      <c r="B44" s="4" t="s">
        <v>121</v>
      </c>
      <c r="C44" s="4" t="s">
        <v>23</v>
      </c>
      <c r="D44" s="4" t="s">
        <v>28</v>
      </c>
      <c r="E44" s="4" t="s">
        <v>309</v>
      </c>
      <c r="F44" s="4"/>
      <c r="G44" s="89">
        <f t="shared" si="3"/>
        <v>359.1</v>
      </c>
      <c r="H44" s="89">
        <f t="shared" si="3"/>
        <v>45.9</v>
      </c>
    </row>
    <row r="45" spans="1:10" ht="25.5">
      <c r="A45" s="36" t="s">
        <v>113</v>
      </c>
      <c r="B45" s="6" t="s">
        <v>121</v>
      </c>
      <c r="C45" s="6" t="s">
        <v>23</v>
      </c>
      <c r="D45" s="6" t="s">
        <v>28</v>
      </c>
      <c r="E45" s="6" t="s">
        <v>309</v>
      </c>
      <c r="F45" s="6" t="s">
        <v>77</v>
      </c>
      <c r="G45" s="85">
        <v>359.1</v>
      </c>
      <c r="H45" s="85">
        <v>45.9</v>
      </c>
      <c r="I45" s="1">
        <v>359.1</v>
      </c>
      <c r="J45" s="1">
        <v>45.9</v>
      </c>
    </row>
    <row r="46" spans="1:10">
      <c r="A46" s="24" t="s">
        <v>15</v>
      </c>
      <c r="B46" s="8">
        <v>968</v>
      </c>
      <c r="C46" s="8" t="s">
        <v>23</v>
      </c>
      <c r="D46" s="8" t="s">
        <v>43</v>
      </c>
      <c r="E46" s="8"/>
      <c r="F46" s="8"/>
      <c r="G46" s="53">
        <f>G48</f>
        <v>500</v>
      </c>
      <c r="H46" s="53">
        <f>H48</f>
        <v>500</v>
      </c>
    </row>
    <row r="47" spans="1:10">
      <c r="A47" s="18" t="s">
        <v>118</v>
      </c>
      <c r="B47" s="10" t="s">
        <v>121</v>
      </c>
      <c r="C47" s="10" t="s">
        <v>23</v>
      </c>
      <c r="D47" s="10" t="s">
        <v>43</v>
      </c>
      <c r="E47" s="10" t="s">
        <v>142</v>
      </c>
      <c r="F47" s="10"/>
      <c r="G47" s="54">
        <f>G48</f>
        <v>500</v>
      </c>
      <c r="H47" s="54">
        <f>H48</f>
        <v>500</v>
      </c>
    </row>
    <row r="48" spans="1:10" s="41" customFormat="1">
      <c r="A48" s="25" t="s">
        <v>50</v>
      </c>
      <c r="B48" s="4">
        <v>968</v>
      </c>
      <c r="C48" s="4" t="s">
        <v>23</v>
      </c>
      <c r="D48" s="4" t="s">
        <v>43</v>
      </c>
      <c r="E48" s="4" t="s">
        <v>152</v>
      </c>
      <c r="F48" s="4"/>
      <c r="G48" s="5">
        <f>G49</f>
        <v>500</v>
      </c>
      <c r="H48" s="5">
        <f>H49</f>
        <v>500</v>
      </c>
    </row>
    <row r="49" spans="1:8">
      <c r="A49" s="36" t="s">
        <v>81</v>
      </c>
      <c r="B49" s="6">
        <v>968</v>
      </c>
      <c r="C49" s="6" t="s">
        <v>23</v>
      </c>
      <c r="D49" s="6" t="s">
        <v>43</v>
      </c>
      <c r="E49" s="6" t="s">
        <v>152</v>
      </c>
      <c r="F49" s="6" t="s">
        <v>83</v>
      </c>
      <c r="G49" s="20">
        <v>500</v>
      </c>
      <c r="H49" s="20">
        <v>500</v>
      </c>
    </row>
    <row r="50" spans="1:8">
      <c r="A50" s="24" t="s">
        <v>71</v>
      </c>
      <c r="B50" s="8">
        <v>968</v>
      </c>
      <c r="C50" s="8" t="s">
        <v>23</v>
      </c>
      <c r="D50" s="8" t="s">
        <v>60</v>
      </c>
      <c r="E50" s="8"/>
      <c r="F50" s="8"/>
      <c r="G50" s="53">
        <f>G51+G61+G65+G69+G73+G77</f>
        <v>54302.034999999996</v>
      </c>
      <c r="H50" s="53">
        <f>H51+H61+H65+H69+H73+H77</f>
        <v>52172.299999999996</v>
      </c>
    </row>
    <row r="51" spans="1:8" ht="25.5">
      <c r="A51" s="66" t="s">
        <v>434</v>
      </c>
      <c r="B51" s="10" t="s">
        <v>121</v>
      </c>
      <c r="C51" s="10" t="s">
        <v>23</v>
      </c>
      <c r="D51" s="10" t="s">
        <v>60</v>
      </c>
      <c r="E51" s="10" t="s">
        <v>253</v>
      </c>
      <c r="F51" s="10"/>
      <c r="G51" s="54">
        <f>G52+G55+G58</f>
        <v>361</v>
      </c>
      <c r="H51" s="54">
        <f>H52+H55+H58</f>
        <v>361</v>
      </c>
    </row>
    <row r="52" spans="1:8" s="42" customFormat="1" ht="38.25">
      <c r="A52" s="23" t="s">
        <v>296</v>
      </c>
      <c r="B52" s="4" t="s">
        <v>121</v>
      </c>
      <c r="C52" s="4" t="s">
        <v>23</v>
      </c>
      <c r="D52" s="4" t="s">
        <v>60</v>
      </c>
      <c r="E52" s="4" t="s">
        <v>270</v>
      </c>
      <c r="F52" s="4"/>
      <c r="G52" s="5">
        <f>G53</f>
        <v>100</v>
      </c>
      <c r="H52" s="5">
        <f>H53</f>
        <v>100</v>
      </c>
    </row>
    <row r="53" spans="1:8" s="41" customFormat="1" ht="25.5">
      <c r="A53" s="16" t="s">
        <v>128</v>
      </c>
      <c r="B53" s="4">
        <v>968</v>
      </c>
      <c r="C53" s="4" t="s">
        <v>23</v>
      </c>
      <c r="D53" s="4" t="s">
        <v>60</v>
      </c>
      <c r="E53" s="4" t="s">
        <v>264</v>
      </c>
      <c r="F53" s="7"/>
      <c r="G53" s="5">
        <f>G54</f>
        <v>100</v>
      </c>
      <c r="H53" s="5">
        <f>H54</f>
        <v>100</v>
      </c>
    </row>
    <row r="54" spans="1:8" ht="25.5">
      <c r="A54" s="15" t="s">
        <v>113</v>
      </c>
      <c r="B54" s="6" t="s">
        <v>121</v>
      </c>
      <c r="C54" s="6" t="s">
        <v>23</v>
      </c>
      <c r="D54" s="6" t="s">
        <v>60</v>
      </c>
      <c r="E54" s="6" t="s">
        <v>264</v>
      </c>
      <c r="F54" s="6" t="s">
        <v>77</v>
      </c>
      <c r="G54" s="20">
        <v>100</v>
      </c>
      <c r="H54" s="20">
        <v>100</v>
      </c>
    </row>
    <row r="55" spans="1:8" ht="25.5">
      <c r="A55" s="23" t="s">
        <v>297</v>
      </c>
      <c r="B55" s="4" t="s">
        <v>121</v>
      </c>
      <c r="C55" s="4" t="s">
        <v>23</v>
      </c>
      <c r="D55" s="4" t="s">
        <v>60</v>
      </c>
      <c r="E55" s="4" t="s">
        <v>298</v>
      </c>
      <c r="F55" s="4"/>
      <c r="G55" s="5">
        <f>G56</f>
        <v>211</v>
      </c>
      <c r="H55" s="5">
        <f>H56</f>
        <v>211</v>
      </c>
    </row>
    <row r="56" spans="1:8" s="41" customFormat="1" ht="38.25">
      <c r="A56" s="25" t="s">
        <v>254</v>
      </c>
      <c r="B56" s="4" t="s">
        <v>121</v>
      </c>
      <c r="C56" s="4" t="s">
        <v>23</v>
      </c>
      <c r="D56" s="4" t="s">
        <v>60</v>
      </c>
      <c r="E56" s="4" t="s">
        <v>353</v>
      </c>
      <c r="F56" s="4"/>
      <c r="G56" s="89">
        <f>G57</f>
        <v>211</v>
      </c>
      <c r="H56" s="89">
        <f>H57</f>
        <v>211</v>
      </c>
    </row>
    <row r="57" spans="1:8" ht="25.5">
      <c r="A57" s="15" t="s">
        <v>113</v>
      </c>
      <c r="B57" s="6" t="s">
        <v>121</v>
      </c>
      <c r="C57" s="6" t="s">
        <v>23</v>
      </c>
      <c r="D57" s="6" t="s">
        <v>60</v>
      </c>
      <c r="E57" s="6" t="s">
        <v>353</v>
      </c>
      <c r="F57" s="6" t="s">
        <v>77</v>
      </c>
      <c r="G57" s="85">
        <v>211</v>
      </c>
      <c r="H57" s="85">
        <v>211</v>
      </c>
    </row>
    <row r="58" spans="1:8" s="42" customFormat="1" ht="38.25">
      <c r="A58" s="70" t="s">
        <v>331</v>
      </c>
      <c r="B58" s="4" t="s">
        <v>121</v>
      </c>
      <c r="C58" s="4" t="s">
        <v>23</v>
      </c>
      <c r="D58" s="4" t="s">
        <v>60</v>
      </c>
      <c r="E58" s="4" t="s">
        <v>332</v>
      </c>
      <c r="F58" s="4"/>
      <c r="G58" s="5">
        <f>G60</f>
        <v>50</v>
      </c>
      <c r="H58" s="5">
        <f>H60</f>
        <v>50</v>
      </c>
    </row>
    <row r="59" spans="1:8" s="42" customFormat="1" ht="25.5">
      <c r="A59" s="16" t="s">
        <v>128</v>
      </c>
      <c r="B59" s="4" t="s">
        <v>121</v>
      </c>
      <c r="C59" s="4" t="s">
        <v>23</v>
      </c>
      <c r="D59" s="4" t="s">
        <v>60</v>
      </c>
      <c r="E59" s="4" t="s">
        <v>333</v>
      </c>
      <c r="F59" s="7"/>
      <c r="G59" s="5">
        <f>G60</f>
        <v>50</v>
      </c>
      <c r="H59" s="5">
        <f>H60</f>
        <v>50</v>
      </c>
    </row>
    <row r="60" spans="1:8" s="42" customFormat="1" ht="25.5">
      <c r="A60" s="15" t="s">
        <v>113</v>
      </c>
      <c r="B60" s="6" t="s">
        <v>121</v>
      </c>
      <c r="C60" s="6" t="s">
        <v>23</v>
      </c>
      <c r="D60" s="6" t="s">
        <v>60</v>
      </c>
      <c r="E60" s="6" t="s">
        <v>333</v>
      </c>
      <c r="F60" s="6" t="s">
        <v>77</v>
      </c>
      <c r="G60" s="20">
        <v>50</v>
      </c>
      <c r="H60" s="20">
        <v>50</v>
      </c>
    </row>
    <row r="61" spans="1:8" s="42" customFormat="1" ht="38.25">
      <c r="A61" s="66" t="s">
        <v>435</v>
      </c>
      <c r="B61" s="10">
        <v>968</v>
      </c>
      <c r="C61" s="10" t="s">
        <v>23</v>
      </c>
      <c r="D61" s="10" t="s">
        <v>60</v>
      </c>
      <c r="E61" s="10" t="s">
        <v>265</v>
      </c>
      <c r="F61" s="10"/>
      <c r="G61" s="54">
        <f t="shared" ref="G61:H63" si="4">G62</f>
        <v>400</v>
      </c>
      <c r="H61" s="54">
        <f t="shared" si="4"/>
        <v>400</v>
      </c>
    </row>
    <row r="62" spans="1:8" s="42" customFormat="1" ht="38.25">
      <c r="A62" s="25" t="s">
        <v>255</v>
      </c>
      <c r="B62" s="4">
        <v>968</v>
      </c>
      <c r="C62" s="4" t="s">
        <v>23</v>
      </c>
      <c r="D62" s="4" t="s">
        <v>60</v>
      </c>
      <c r="E62" s="4" t="s">
        <v>266</v>
      </c>
      <c r="F62" s="4"/>
      <c r="G62" s="5">
        <f t="shared" si="4"/>
        <v>400</v>
      </c>
      <c r="H62" s="5">
        <f t="shared" si="4"/>
        <v>400</v>
      </c>
    </row>
    <row r="63" spans="1:8" s="68" customFormat="1" ht="26.25">
      <c r="A63" s="16" t="s">
        <v>128</v>
      </c>
      <c r="B63" s="4">
        <v>968</v>
      </c>
      <c r="C63" s="4" t="s">
        <v>23</v>
      </c>
      <c r="D63" s="4" t="s">
        <v>60</v>
      </c>
      <c r="E63" s="4" t="s">
        <v>267</v>
      </c>
      <c r="F63" s="4"/>
      <c r="G63" s="5">
        <f t="shared" si="4"/>
        <v>400</v>
      </c>
      <c r="H63" s="5">
        <f t="shared" si="4"/>
        <v>400</v>
      </c>
    </row>
    <row r="64" spans="1:8" s="42" customFormat="1" ht="25.5">
      <c r="A64" s="15" t="s">
        <v>113</v>
      </c>
      <c r="B64" s="6">
        <v>968</v>
      </c>
      <c r="C64" s="6" t="s">
        <v>23</v>
      </c>
      <c r="D64" s="6" t="s">
        <v>60</v>
      </c>
      <c r="E64" s="6" t="s">
        <v>267</v>
      </c>
      <c r="F64" s="6" t="s">
        <v>77</v>
      </c>
      <c r="G64" s="20">
        <v>400</v>
      </c>
      <c r="H64" s="20">
        <v>400</v>
      </c>
    </row>
    <row r="65" spans="1:10" ht="38.25">
      <c r="A65" s="66" t="s">
        <v>436</v>
      </c>
      <c r="B65" s="10" t="s">
        <v>122</v>
      </c>
      <c r="C65" s="10" t="s">
        <v>23</v>
      </c>
      <c r="D65" s="10" t="s">
        <v>60</v>
      </c>
      <c r="E65" s="10" t="s">
        <v>162</v>
      </c>
      <c r="F65" s="10"/>
      <c r="G65" s="54">
        <f t="shared" ref="G65:H67" si="5">G66</f>
        <v>135</v>
      </c>
      <c r="H65" s="54">
        <f t="shared" si="5"/>
        <v>135</v>
      </c>
    </row>
    <row r="66" spans="1:10" ht="38.25">
      <c r="A66" s="25" t="s">
        <v>354</v>
      </c>
      <c r="B66" s="4">
        <v>968</v>
      </c>
      <c r="C66" s="4" t="s">
        <v>23</v>
      </c>
      <c r="D66" s="4" t="s">
        <v>60</v>
      </c>
      <c r="E66" s="4" t="s">
        <v>268</v>
      </c>
      <c r="F66" s="4"/>
      <c r="G66" s="5">
        <f t="shared" si="5"/>
        <v>135</v>
      </c>
      <c r="H66" s="5">
        <f t="shared" si="5"/>
        <v>135</v>
      </c>
    </row>
    <row r="67" spans="1:10" s="41" customFormat="1" ht="25.5">
      <c r="A67" s="16" t="s">
        <v>128</v>
      </c>
      <c r="B67" s="4">
        <v>968</v>
      </c>
      <c r="C67" s="4" t="s">
        <v>23</v>
      </c>
      <c r="D67" s="4" t="s">
        <v>60</v>
      </c>
      <c r="E67" s="4" t="s">
        <v>269</v>
      </c>
      <c r="F67" s="7"/>
      <c r="G67" s="5">
        <f t="shared" si="5"/>
        <v>135</v>
      </c>
      <c r="H67" s="5">
        <f t="shared" si="5"/>
        <v>135</v>
      </c>
    </row>
    <row r="68" spans="1:10" ht="25.5">
      <c r="A68" s="19" t="s">
        <v>128</v>
      </c>
      <c r="B68" s="6">
        <v>968</v>
      </c>
      <c r="C68" s="6" t="s">
        <v>23</v>
      </c>
      <c r="D68" s="6" t="s">
        <v>60</v>
      </c>
      <c r="E68" s="6" t="s">
        <v>269</v>
      </c>
      <c r="F68" s="6" t="s">
        <v>77</v>
      </c>
      <c r="G68" s="20">
        <v>135</v>
      </c>
      <c r="H68" s="20">
        <v>135</v>
      </c>
    </row>
    <row r="69" spans="1:10" ht="27.75" customHeight="1">
      <c r="A69" s="66" t="s">
        <v>437</v>
      </c>
      <c r="B69" s="10">
        <v>968</v>
      </c>
      <c r="C69" s="10" t="s">
        <v>23</v>
      </c>
      <c r="D69" s="10" t="s">
        <v>60</v>
      </c>
      <c r="E69" s="10" t="s">
        <v>348</v>
      </c>
      <c r="F69" s="10"/>
      <c r="G69" s="54">
        <f t="shared" ref="G69:H71" si="6">G70</f>
        <v>265</v>
      </c>
      <c r="H69" s="54">
        <f t="shared" si="6"/>
        <v>265</v>
      </c>
    </row>
    <row r="70" spans="1:10" ht="25.5">
      <c r="A70" s="25" t="s">
        <v>350</v>
      </c>
      <c r="B70" s="4">
        <v>968</v>
      </c>
      <c r="C70" s="4" t="s">
        <v>23</v>
      </c>
      <c r="D70" s="4" t="s">
        <v>60</v>
      </c>
      <c r="E70" s="4" t="s">
        <v>349</v>
      </c>
      <c r="F70" s="4"/>
      <c r="G70" s="5">
        <f t="shared" si="6"/>
        <v>265</v>
      </c>
      <c r="H70" s="5">
        <f t="shared" si="6"/>
        <v>265</v>
      </c>
    </row>
    <row r="71" spans="1:10" s="41" customFormat="1" ht="25.5">
      <c r="A71" s="16" t="s">
        <v>128</v>
      </c>
      <c r="B71" s="4">
        <v>968</v>
      </c>
      <c r="C71" s="4" t="s">
        <v>23</v>
      </c>
      <c r="D71" s="4" t="s">
        <v>60</v>
      </c>
      <c r="E71" s="4" t="s">
        <v>1</v>
      </c>
      <c r="F71" s="4"/>
      <c r="G71" s="5">
        <f t="shared" si="6"/>
        <v>265</v>
      </c>
      <c r="H71" s="5">
        <f t="shared" si="6"/>
        <v>265</v>
      </c>
    </row>
    <row r="72" spans="1:10" ht="25.5">
      <c r="A72" s="19" t="s">
        <v>128</v>
      </c>
      <c r="B72" s="6" t="s">
        <v>121</v>
      </c>
      <c r="C72" s="6" t="s">
        <v>23</v>
      </c>
      <c r="D72" s="6" t="s">
        <v>60</v>
      </c>
      <c r="E72" s="6" t="s">
        <v>1</v>
      </c>
      <c r="F72" s="6" t="s">
        <v>77</v>
      </c>
      <c r="G72" s="20">
        <v>265</v>
      </c>
      <c r="H72" s="20">
        <v>265</v>
      </c>
    </row>
    <row r="73" spans="1:10" ht="38.25">
      <c r="A73" s="66" t="s">
        <v>438</v>
      </c>
      <c r="B73" s="10">
        <v>968</v>
      </c>
      <c r="C73" s="10" t="s">
        <v>23</v>
      </c>
      <c r="D73" s="10" t="s">
        <v>60</v>
      </c>
      <c r="E73" s="10" t="s">
        <v>302</v>
      </c>
      <c r="F73" s="10"/>
      <c r="G73" s="54">
        <f t="shared" ref="G73:H75" si="7">G74</f>
        <v>250</v>
      </c>
      <c r="H73" s="54">
        <f t="shared" si="7"/>
        <v>250</v>
      </c>
    </row>
    <row r="74" spans="1:10" ht="25.5">
      <c r="A74" s="76" t="s">
        <v>317</v>
      </c>
      <c r="B74" s="4">
        <v>968</v>
      </c>
      <c r="C74" s="4" t="s">
        <v>23</v>
      </c>
      <c r="D74" s="4" t="s">
        <v>60</v>
      </c>
      <c r="E74" s="4" t="s">
        <v>303</v>
      </c>
      <c r="F74" s="4"/>
      <c r="G74" s="5">
        <f t="shared" si="7"/>
        <v>250</v>
      </c>
      <c r="H74" s="5">
        <f t="shared" si="7"/>
        <v>250</v>
      </c>
    </row>
    <row r="75" spans="1:10" s="41" customFormat="1" ht="25.5">
      <c r="A75" s="16" t="s">
        <v>128</v>
      </c>
      <c r="B75" s="4" t="s">
        <v>121</v>
      </c>
      <c r="C75" s="4" t="s">
        <v>23</v>
      </c>
      <c r="D75" s="4" t="s">
        <v>60</v>
      </c>
      <c r="E75" s="4" t="s">
        <v>304</v>
      </c>
      <c r="F75" s="4"/>
      <c r="G75" s="5">
        <f t="shared" si="7"/>
        <v>250</v>
      </c>
      <c r="H75" s="5">
        <f t="shared" si="7"/>
        <v>250</v>
      </c>
    </row>
    <row r="76" spans="1:10" ht="25.5">
      <c r="A76" s="36" t="s">
        <v>76</v>
      </c>
      <c r="B76" s="6" t="s">
        <v>121</v>
      </c>
      <c r="C76" s="6" t="s">
        <v>23</v>
      </c>
      <c r="D76" s="6" t="s">
        <v>60</v>
      </c>
      <c r="E76" s="6" t="s">
        <v>304</v>
      </c>
      <c r="F76" s="6" t="s">
        <v>77</v>
      </c>
      <c r="G76" s="20">
        <v>250</v>
      </c>
      <c r="H76" s="20">
        <v>250</v>
      </c>
    </row>
    <row r="77" spans="1:10">
      <c r="A77" s="18" t="s">
        <v>118</v>
      </c>
      <c r="B77" s="10" t="s">
        <v>121</v>
      </c>
      <c r="C77" s="10" t="s">
        <v>23</v>
      </c>
      <c r="D77" s="10" t="s">
        <v>60</v>
      </c>
      <c r="E77" s="10" t="s">
        <v>142</v>
      </c>
      <c r="F77" s="10"/>
      <c r="G77" s="54">
        <f>G78+G83+G89+G94+G96</f>
        <v>52891.034999999996</v>
      </c>
      <c r="H77" s="54">
        <f>H78+H83+H89+H94+H96</f>
        <v>50761.299999999996</v>
      </c>
    </row>
    <row r="78" spans="1:10" ht="25.5">
      <c r="A78" s="25" t="s">
        <v>58</v>
      </c>
      <c r="B78" s="4">
        <v>968</v>
      </c>
      <c r="C78" s="4" t="s">
        <v>23</v>
      </c>
      <c r="D78" s="4" t="s">
        <v>60</v>
      </c>
      <c r="E78" s="4" t="s">
        <v>153</v>
      </c>
      <c r="F78" s="4"/>
      <c r="G78" s="89">
        <f>SUM(G79:G82)</f>
        <v>412.2</v>
      </c>
      <c r="H78" s="89">
        <f>SUM(H79:H82)</f>
        <v>412.2</v>
      </c>
    </row>
    <row r="79" spans="1:10" ht="25.5">
      <c r="A79" s="36" t="s">
        <v>140</v>
      </c>
      <c r="B79" s="6">
        <v>968</v>
      </c>
      <c r="C79" s="6" t="s">
        <v>23</v>
      </c>
      <c r="D79" s="6" t="s">
        <v>60</v>
      </c>
      <c r="E79" s="6" t="s">
        <v>153</v>
      </c>
      <c r="F79" s="6" t="s">
        <v>73</v>
      </c>
      <c r="G79" s="85">
        <v>271.89999999999998</v>
      </c>
      <c r="H79" s="85">
        <v>271.89999999999998</v>
      </c>
      <c r="I79" s="1">
        <v>412.2</v>
      </c>
      <c r="J79" s="1">
        <v>412.2</v>
      </c>
    </row>
    <row r="80" spans="1:10" ht="38.25">
      <c r="A80" s="36" t="s">
        <v>141</v>
      </c>
      <c r="B80" s="6">
        <v>968</v>
      </c>
      <c r="C80" s="6" t="s">
        <v>23</v>
      </c>
      <c r="D80" s="6" t="s">
        <v>60</v>
      </c>
      <c r="E80" s="6" t="s">
        <v>153</v>
      </c>
      <c r="F80" s="6" t="s">
        <v>134</v>
      </c>
      <c r="G80" s="85">
        <v>82.1</v>
      </c>
      <c r="H80" s="85">
        <v>82.1</v>
      </c>
    </row>
    <row r="81" spans="1:10" ht="25.5">
      <c r="A81" s="36" t="s">
        <v>74</v>
      </c>
      <c r="B81" s="6">
        <v>968</v>
      </c>
      <c r="C81" s="6" t="s">
        <v>23</v>
      </c>
      <c r="D81" s="6" t="s">
        <v>60</v>
      </c>
      <c r="E81" s="6" t="s">
        <v>153</v>
      </c>
      <c r="F81" s="6" t="s">
        <v>75</v>
      </c>
      <c r="G81" s="85">
        <v>18</v>
      </c>
      <c r="H81" s="85">
        <v>18</v>
      </c>
    </row>
    <row r="82" spans="1:10" ht="25.5">
      <c r="A82" s="36" t="s">
        <v>76</v>
      </c>
      <c r="B82" s="6">
        <v>968</v>
      </c>
      <c r="C82" s="6" t="s">
        <v>23</v>
      </c>
      <c r="D82" s="6" t="s">
        <v>60</v>
      </c>
      <c r="E82" s="6" t="s">
        <v>153</v>
      </c>
      <c r="F82" s="6" t="s">
        <v>77</v>
      </c>
      <c r="G82" s="85">
        <v>40.200000000000003</v>
      </c>
      <c r="H82" s="85">
        <v>40.200000000000003</v>
      </c>
    </row>
    <row r="83" spans="1:10" ht="38.25">
      <c r="A83" s="25" t="s">
        <v>47</v>
      </c>
      <c r="B83" s="4">
        <v>968</v>
      </c>
      <c r="C83" s="4" t="s">
        <v>39</v>
      </c>
      <c r="D83" s="4" t="s">
        <v>60</v>
      </c>
      <c r="E83" s="4" t="s">
        <v>154</v>
      </c>
      <c r="F83" s="4"/>
      <c r="G83" s="89">
        <f>SUM(G84:G88)</f>
        <v>923.5</v>
      </c>
      <c r="H83" s="89">
        <f>SUM(H84:H88)</f>
        <v>923.5</v>
      </c>
    </row>
    <row r="84" spans="1:10" ht="25.5">
      <c r="A84" s="36" t="s">
        <v>140</v>
      </c>
      <c r="B84" s="6">
        <v>968</v>
      </c>
      <c r="C84" s="6" t="s">
        <v>23</v>
      </c>
      <c r="D84" s="6" t="s">
        <v>60</v>
      </c>
      <c r="E84" s="6" t="s">
        <v>154</v>
      </c>
      <c r="F84" s="6" t="s">
        <v>73</v>
      </c>
      <c r="G84" s="85">
        <v>603.70000000000005</v>
      </c>
      <c r="H84" s="85">
        <v>603.70000000000005</v>
      </c>
      <c r="I84" s="1">
        <v>923.5</v>
      </c>
      <c r="J84" s="1">
        <v>923.5</v>
      </c>
    </row>
    <row r="85" spans="1:10" ht="25.5">
      <c r="A85" s="36" t="s">
        <v>452</v>
      </c>
      <c r="B85" s="6">
        <v>968</v>
      </c>
      <c r="C85" s="6" t="s">
        <v>23</v>
      </c>
      <c r="D85" s="6" t="s">
        <v>60</v>
      </c>
      <c r="E85" s="6" t="s">
        <v>154</v>
      </c>
      <c r="F85" s="6" t="s">
        <v>453</v>
      </c>
      <c r="G85" s="85">
        <v>5</v>
      </c>
      <c r="H85" s="85">
        <v>5</v>
      </c>
    </row>
    <row r="86" spans="1:10" s="41" customFormat="1" ht="38.25">
      <c r="A86" s="36" t="s">
        <v>141</v>
      </c>
      <c r="B86" s="6">
        <v>968</v>
      </c>
      <c r="C86" s="6" t="s">
        <v>23</v>
      </c>
      <c r="D86" s="6" t="s">
        <v>60</v>
      </c>
      <c r="E86" s="6" t="s">
        <v>154</v>
      </c>
      <c r="F86" s="6" t="s">
        <v>134</v>
      </c>
      <c r="G86" s="85">
        <v>182.3</v>
      </c>
      <c r="H86" s="85">
        <v>182.3</v>
      </c>
    </row>
    <row r="87" spans="1:10" ht="25.5">
      <c r="A87" s="36" t="s">
        <v>74</v>
      </c>
      <c r="B87" s="6">
        <v>968</v>
      </c>
      <c r="C87" s="6" t="s">
        <v>23</v>
      </c>
      <c r="D87" s="6" t="s">
        <v>60</v>
      </c>
      <c r="E87" s="6" t="s">
        <v>154</v>
      </c>
      <c r="F87" s="6" t="s">
        <v>75</v>
      </c>
      <c r="G87" s="85">
        <v>36.5</v>
      </c>
      <c r="H87" s="85">
        <v>36.5</v>
      </c>
    </row>
    <row r="88" spans="1:10" ht="25.5">
      <c r="A88" s="36" t="s">
        <v>76</v>
      </c>
      <c r="B88" s="6">
        <v>968</v>
      </c>
      <c r="C88" s="6" t="s">
        <v>23</v>
      </c>
      <c r="D88" s="6" t="s">
        <v>60</v>
      </c>
      <c r="E88" s="6" t="s">
        <v>154</v>
      </c>
      <c r="F88" s="6" t="s">
        <v>77</v>
      </c>
      <c r="G88" s="85">
        <f>50+46</f>
        <v>96</v>
      </c>
      <c r="H88" s="85">
        <f>50+46</f>
        <v>96</v>
      </c>
    </row>
    <row r="89" spans="1:10" ht="38.25">
      <c r="A89" s="31" t="s">
        <v>52</v>
      </c>
      <c r="B89" s="4">
        <v>968</v>
      </c>
      <c r="C89" s="4" t="s">
        <v>23</v>
      </c>
      <c r="D89" s="4" t="s">
        <v>60</v>
      </c>
      <c r="E89" s="4" t="s">
        <v>155</v>
      </c>
      <c r="F89" s="4"/>
      <c r="G89" s="89">
        <f>SUM(G90:G93)</f>
        <v>600</v>
      </c>
      <c r="H89" s="89">
        <f>SUM(H90:H93)</f>
        <v>600</v>
      </c>
    </row>
    <row r="90" spans="1:10" ht="25.5">
      <c r="A90" s="36" t="s">
        <v>140</v>
      </c>
      <c r="B90" s="6">
        <v>968</v>
      </c>
      <c r="C90" s="6" t="s">
        <v>23</v>
      </c>
      <c r="D90" s="6" t="s">
        <v>60</v>
      </c>
      <c r="E90" s="6" t="s">
        <v>155</v>
      </c>
      <c r="F90" s="6" t="s">
        <v>73</v>
      </c>
      <c r="G90" s="85">
        <v>600</v>
      </c>
      <c r="H90" s="85">
        <v>600</v>
      </c>
      <c r="I90" s="1">
        <v>600</v>
      </c>
      <c r="J90" s="1">
        <v>600</v>
      </c>
    </row>
    <row r="91" spans="1:10" ht="38.25">
      <c r="A91" s="36" t="s">
        <v>141</v>
      </c>
      <c r="B91" s="6">
        <v>968</v>
      </c>
      <c r="C91" s="6" t="s">
        <v>23</v>
      </c>
      <c r="D91" s="6" t="s">
        <v>60</v>
      </c>
      <c r="E91" s="6" t="s">
        <v>155</v>
      </c>
      <c r="F91" s="6" t="s">
        <v>134</v>
      </c>
      <c r="G91" s="85"/>
      <c r="H91" s="85"/>
    </row>
    <row r="92" spans="1:10" ht="25.5">
      <c r="A92" s="36" t="s">
        <v>74</v>
      </c>
      <c r="B92" s="6">
        <v>968</v>
      </c>
      <c r="C92" s="6" t="s">
        <v>23</v>
      </c>
      <c r="D92" s="6" t="s">
        <v>60</v>
      </c>
      <c r="E92" s="6" t="s">
        <v>155</v>
      </c>
      <c r="F92" s="6" t="s">
        <v>75</v>
      </c>
      <c r="G92" s="85"/>
      <c r="H92" s="85"/>
    </row>
    <row r="93" spans="1:10" ht="25.5">
      <c r="A93" s="36" t="s">
        <v>76</v>
      </c>
      <c r="B93" s="6">
        <v>968</v>
      </c>
      <c r="C93" s="6" t="s">
        <v>23</v>
      </c>
      <c r="D93" s="6" t="s">
        <v>60</v>
      </c>
      <c r="E93" s="6" t="s">
        <v>155</v>
      </c>
      <c r="F93" s="6" t="s">
        <v>77</v>
      </c>
      <c r="G93" s="85"/>
      <c r="H93" s="85"/>
    </row>
    <row r="94" spans="1:10" s="41" customFormat="1" ht="25.5">
      <c r="A94" s="30" t="s">
        <v>271</v>
      </c>
      <c r="B94" s="4">
        <v>968</v>
      </c>
      <c r="C94" s="4" t="s">
        <v>23</v>
      </c>
      <c r="D94" s="4" t="s">
        <v>60</v>
      </c>
      <c r="E94" s="4" t="s">
        <v>358</v>
      </c>
      <c r="F94" s="4"/>
      <c r="G94" s="5">
        <f>G95</f>
        <v>2592</v>
      </c>
      <c r="H94" s="5">
        <f>H95</f>
        <v>2592</v>
      </c>
    </row>
    <row r="95" spans="1:10" ht="51">
      <c r="A95" s="62" t="s">
        <v>89</v>
      </c>
      <c r="B95" s="6">
        <v>968</v>
      </c>
      <c r="C95" s="6" t="s">
        <v>23</v>
      </c>
      <c r="D95" s="6" t="s">
        <v>60</v>
      </c>
      <c r="E95" s="6" t="s">
        <v>358</v>
      </c>
      <c r="F95" s="6" t="s">
        <v>93</v>
      </c>
      <c r="G95" s="20">
        <f>1990.8+601.2</f>
        <v>2592</v>
      </c>
      <c r="H95" s="20">
        <f>1990.8+601.2</f>
        <v>2592</v>
      </c>
    </row>
    <row r="96" spans="1:10" ht="25.5">
      <c r="A96" s="37" t="s">
        <v>114</v>
      </c>
      <c r="B96" s="10">
        <v>968</v>
      </c>
      <c r="C96" s="10" t="s">
        <v>23</v>
      </c>
      <c r="D96" s="10" t="s">
        <v>60</v>
      </c>
      <c r="E96" s="10" t="s">
        <v>156</v>
      </c>
      <c r="F96" s="10"/>
      <c r="G96" s="54">
        <f>G97</f>
        <v>48363.334999999999</v>
      </c>
      <c r="H96" s="54">
        <f>H97</f>
        <v>46233.599999999999</v>
      </c>
    </row>
    <row r="97" spans="1:8" ht="25.5">
      <c r="A97" s="30" t="s">
        <v>106</v>
      </c>
      <c r="B97" s="4">
        <v>968</v>
      </c>
      <c r="C97" s="4" t="s">
        <v>23</v>
      </c>
      <c r="D97" s="4" t="s">
        <v>60</v>
      </c>
      <c r="E97" s="4" t="s">
        <v>157</v>
      </c>
      <c r="F97" s="4"/>
      <c r="G97" s="5">
        <f>SUM(G98:G103)</f>
        <v>48363.334999999999</v>
      </c>
      <c r="H97" s="5">
        <f>SUM(H98:H103)</f>
        <v>46233.599999999999</v>
      </c>
    </row>
    <row r="98" spans="1:8">
      <c r="A98" s="38" t="s">
        <v>236</v>
      </c>
      <c r="B98" s="6">
        <v>968</v>
      </c>
      <c r="C98" s="6" t="s">
        <v>23</v>
      </c>
      <c r="D98" s="6" t="s">
        <v>60</v>
      </c>
      <c r="E98" s="6" t="s">
        <v>157</v>
      </c>
      <c r="F98" s="6" t="s">
        <v>107</v>
      </c>
      <c r="G98" s="20">
        <v>21232.3</v>
      </c>
      <c r="H98" s="20">
        <v>21232.3</v>
      </c>
    </row>
    <row r="99" spans="1:8" ht="38.25">
      <c r="A99" s="14" t="s">
        <v>238</v>
      </c>
      <c r="B99" s="6">
        <v>968</v>
      </c>
      <c r="C99" s="6" t="s">
        <v>23</v>
      </c>
      <c r="D99" s="6" t="s">
        <v>60</v>
      </c>
      <c r="E99" s="6" t="s">
        <v>157</v>
      </c>
      <c r="F99" s="6" t="s">
        <v>158</v>
      </c>
      <c r="G99" s="20">
        <v>6412.2</v>
      </c>
      <c r="H99" s="20">
        <v>6412.2</v>
      </c>
    </row>
    <row r="100" spans="1:8" ht="25.5">
      <c r="A100" s="105" t="s">
        <v>477</v>
      </c>
      <c r="B100" s="6">
        <v>968</v>
      </c>
      <c r="C100" s="6" t="s">
        <v>23</v>
      </c>
      <c r="D100" s="6" t="s">
        <v>60</v>
      </c>
      <c r="E100" s="6" t="s">
        <v>157</v>
      </c>
      <c r="F100" s="6" t="s">
        <v>75</v>
      </c>
      <c r="G100" s="20">
        <v>1100</v>
      </c>
      <c r="H100" s="20">
        <v>1100</v>
      </c>
    </row>
    <row r="101" spans="1:8" ht="25.5">
      <c r="A101" s="36" t="s">
        <v>76</v>
      </c>
      <c r="B101" s="6">
        <v>968</v>
      </c>
      <c r="C101" s="6" t="s">
        <v>23</v>
      </c>
      <c r="D101" s="6" t="s">
        <v>60</v>
      </c>
      <c r="E101" s="6" t="s">
        <v>157</v>
      </c>
      <c r="F101" s="6" t="s">
        <v>77</v>
      </c>
      <c r="G101" s="20">
        <f>14900+2129.735</f>
        <v>17029.735000000001</v>
      </c>
      <c r="H101" s="20">
        <v>14900</v>
      </c>
    </row>
    <row r="102" spans="1:8">
      <c r="A102" s="36" t="s">
        <v>373</v>
      </c>
      <c r="B102" s="6">
        <v>968</v>
      </c>
      <c r="C102" s="6" t="s">
        <v>23</v>
      </c>
      <c r="D102" s="6" t="s">
        <v>60</v>
      </c>
      <c r="E102" s="6" t="s">
        <v>157</v>
      </c>
      <c r="F102" s="6" t="s">
        <v>372</v>
      </c>
      <c r="G102" s="20">
        <v>2550</v>
      </c>
      <c r="H102" s="20">
        <v>2550</v>
      </c>
    </row>
    <row r="103" spans="1:8">
      <c r="A103" s="14" t="s">
        <v>159</v>
      </c>
      <c r="B103" s="6">
        <v>968</v>
      </c>
      <c r="C103" s="6" t="s">
        <v>23</v>
      </c>
      <c r="D103" s="6" t="s">
        <v>60</v>
      </c>
      <c r="E103" s="6" t="s">
        <v>157</v>
      </c>
      <c r="F103" s="6" t="s">
        <v>80</v>
      </c>
      <c r="G103" s="20">
        <v>39.1</v>
      </c>
      <c r="H103" s="20">
        <v>39.1</v>
      </c>
    </row>
    <row r="104" spans="1:8" ht="25.5">
      <c r="A104" s="22" t="s">
        <v>103</v>
      </c>
      <c r="B104" s="9" t="s">
        <v>121</v>
      </c>
      <c r="C104" s="9" t="s">
        <v>38</v>
      </c>
      <c r="D104" s="9"/>
      <c r="E104" s="55"/>
      <c r="F104" s="55"/>
      <c r="G104" s="52">
        <f t="shared" ref="G104:H108" si="8">G105</f>
        <v>1500</v>
      </c>
      <c r="H104" s="52">
        <f t="shared" si="8"/>
        <v>1500</v>
      </c>
    </row>
    <row r="105" spans="1:8" ht="38.25">
      <c r="A105" s="24" t="s">
        <v>362</v>
      </c>
      <c r="B105" s="8">
        <v>968</v>
      </c>
      <c r="C105" s="8" t="s">
        <v>38</v>
      </c>
      <c r="D105" s="8" t="s">
        <v>32</v>
      </c>
      <c r="E105" s="8"/>
      <c r="F105" s="8"/>
      <c r="G105" s="53">
        <f t="shared" si="8"/>
        <v>1500</v>
      </c>
      <c r="H105" s="53">
        <f t="shared" si="8"/>
        <v>1500</v>
      </c>
    </row>
    <row r="106" spans="1:8" ht="63.75">
      <c r="A106" s="40" t="s">
        <v>439</v>
      </c>
      <c r="B106" s="10" t="s">
        <v>121</v>
      </c>
      <c r="C106" s="10" t="s">
        <v>38</v>
      </c>
      <c r="D106" s="10" t="s">
        <v>32</v>
      </c>
      <c r="E106" s="10" t="s">
        <v>363</v>
      </c>
      <c r="F106" s="10"/>
      <c r="G106" s="54">
        <f>G107</f>
        <v>1500</v>
      </c>
      <c r="H106" s="54">
        <f>H107</f>
        <v>1500</v>
      </c>
    </row>
    <row r="107" spans="1:8" ht="38.25">
      <c r="A107" s="23" t="s">
        <v>367</v>
      </c>
      <c r="B107" s="4">
        <v>968</v>
      </c>
      <c r="C107" s="4" t="s">
        <v>38</v>
      </c>
      <c r="D107" s="4" t="s">
        <v>32</v>
      </c>
      <c r="E107" s="4" t="s">
        <v>364</v>
      </c>
      <c r="F107" s="4"/>
      <c r="G107" s="5">
        <f>G108</f>
        <v>1500</v>
      </c>
      <c r="H107" s="5">
        <f>H108</f>
        <v>1500</v>
      </c>
    </row>
    <row r="108" spans="1:8" ht="25.5">
      <c r="A108" s="83" t="s">
        <v>366</v>
      </c>
      <c r="B108" s="4">
        <v>968</v>
      </c>
      <c r="C108" s="4" t="s">
        <v>38</v>
      </c>
      <c r="D108" s="4" t="s">
        <v>32</v>
      </c>
      <c r="E108" s="4" t="s">
        <v>365</v>
      </c>
      <c r="F108" s="4"/>
      <c r="G108" s="5">
        <f t="shared" si="8"/>
        <v>1500</v>
      </c>
      <c r="H108" s="5">
        <f t="shared" si="8"/>
        <v>1500</v>
      </c>
    </row>
    <row r="109" spans="1:8" ht="25.5">
      <c r="A109" s="14" t="s">
        <v>76</v>
      </c>
      <c r="B109" s="6">
        <v>968</v>
      </c>
      <c r="C109" s="6" t="s">
        <v>38</v>
      </c>
      <c r="D109" s="6" t="s">
        <v>32</v>
      </c>
      <c r="E109" s="6" t="s">
        <v>365</v>
      </c>
      <c r="F109" s="6" t="s">
        <v>77</v>
      </c>
      <c r="G109" s="20">
        <v>1500</v>
      </c>
      <c r="H109" s="20">
        <v>1500</v>
      </c>
    </row>
    <row r="110" spans="1:8" s="41" customFormat="1">
      <c r="A110" s="22" t="s">
        <v>85</v>
      </c>
      <c r="B110" s="9">
        <v>968</v>
      </c>
      <c r="C110" s="9" t="s">
        <v>26</v>
      </c>
      <c r="D110" s="9"/>
      <c r="E110" s="9"/>
      <c r="F110" s="9"/>
      <c r="G110" s="52">
        <f>G117+G111</f>
        <v>94217.38</v>
      </c>
      <c r="H110" s="52">
        <f>H117+H111</f>
        <v>104217.38</v>
      </c>
    </row>
    <row r="111" spans="1:8" s="41" customFormat="1" ht="13.5">
      <c r="A111" s="24" t="s">
        <v>61</v>
      </c>
      <c r="B111" s="13" t="s">
        <v>121</v>
      </c>
      <c r="C111" s="8" t="s">
        <v>26</v>
      </c>
      <c r="D111" s="8" t="s">
        <v>29</v>
      </c>
      <c r="E111" s="24"/>
      <c r="F111" s="24"/>
      <c r="G111" s="53">
        <f t="shared" ref="G111:H114" si="9">G112</f>
        <v>94001.88</v>
      </c>
      <c r="H111" s="53">
        <f t="shared" si="9"/>
        <v>104001.88</v>
      </c>
    </row>
    <row r="112" spans="1:8" s="41" customFormat="1" ht="51">
      <c r="A112" s="40" t="s">
        <v>440</v>
      </c>
      <c r="B112" s="10" t="s">
        <v>121</v>
      </c>
      <c r="C112" s="10" t="s">
        <v>26</v>
      </c>
      <c r="D112" s="10" t="s">
        <v>29</v>
      </c>
      <c r="E112" s="10" t="s">
        <v>160</v>
      </c>
      <c r="F112" s="40"/>
      <c r="G112" s="75">
        <f t="shared" si="9"/>
        <v>94001.88</v>
      </c>
      <c r="H112" s="75">
        <f t="shared" si="9"/>
        <v>104001.88</v>
      </c>
    </row>
    <row r="113" spans="1:10" s="41" customFormat="1" ht="27">
      <c r="A113" s="69" t="s">
        <v>408</v>
      </c>
      <c r="B113" s="7" t="s">
        <v>121</v>
      </c>
      <c r="C113" s="7" t="s">
        <v>26</v>
      </c>
      <c r="D113" s="7" t="s">
        <v>29</v>
      </c>
      <c r="E113" s="7" t="s">
        <v>410</v>
      </c>
      <c r="F113" s="4"/>
      <c r="G113" s="90">
        <f t="shared" si="9"/>
        <v>94001.88</v>
      </c>
      <c r="H113" s="90">
        <f t="shared" si="9"/>
        <v>104001.88</v>
      </c>
    </row>
    <row r="114" spans="1:10" s="41" customFormat="1" ht="25.5">
      <c r="A114" s="16" t="s">
        <v>409</v>
      </c>
      <c r="B114" s="4" t="s">
        <v>121</v>
      </c>
      <c r="C114" s="4" t="s">
        <v>26</v>
      </c>
      <c r="D114" s="4" t="s">
        <v>29</v>
      </c>
      <c r="E114" s="4" t="s">
        <v>411</v>
      </c>
      <c r="F114" s="6"/>
      <c r="G114" s="89">
        <f t="shared" si="9"/>
        <v>94001.88</v>
      </c>
      <c r="H114" s="89">
        <f t="shared" si="9"/>
        <v>104001.88</v>
      </c>
    </row>
    <row r="115" spans="1:10" s="41" customFormat="1" ht="63.75">
      <c r="A115" s="111" t="s">
        <v>383</v>
      </c>
      <c r="B115" s="4" t="s">
        <v>121</v>
      </c>
      <c r="C115" s="100" t="s">
        <v>26</v>
      </c>
      <c r="D115" s="100" t="s">
        <v>29</v>
      </c>
      <c r="E115" s="4" t="s">
        <v>460</v>
      </c>
      <c r="F115" s="100"/>
      <c r="G115" s="89">
        <f>G116</f>
        <v>94001.88</v>
      </c>
      <c r="H115" s="89">
        <f>SUM(H116:H116)</f>
        <v>104001.88</v>
      </c>
    </row>
    <row r="116" spans="1:10" s="41" customFormat="1">
      <c r="A116" s="110" t="s">
        <v>405</v>
      </c>
      <c r="B116" s="6" t="s">
        <v>121</v>
      </c>
      <c r="C116" s="94" t="s">
        <v>26</v>
      </c>
      <c r="D116" s="94" t="s">
        <v>29</v>
      </c>
      <c r="E116" s="6" t="s">
        <v>460</v>
      </c>
      <c r="F116" s="94" t="s">
        <v>102</v>
      </c>
      <c r="G116" s="85">
        <f>100000+3092.78-9090.9</f>
        <v>94001.88</v>
      </c>
      <c r="H116" s="85">
        <f>100000+3092.78+909.1</f>
        <v>104001.88</v>
      </c>
      <c r="I116" s="41">
        <v>90909.1</v>
      </c>
      <c r="J116" s="41">
        <v>100909.1</v>
      </c>
    </row>
    <row r="117" spans="1:10">
      <c r="A117" s="24" t="s">
        <v>66</v>
      </c>
      <c r="B117" s="8">
        <v>968</v>
      </c>
      <c r="C117" s="8" t="s">
        <v>26</v>
      </c>
      <c r="D117" s="8" t="s">
        <v>44</v>
      </c>
      <c r="E117" s="8"/>
      <c r="F117" s="8"/>
      <c r="G117" s="53">
        <f>G126+G118+G122</f>
        <v>215.5</v>
      </c>
      <c r="H117" s="53">
        <f>H126+H118+H122</f>
        <v>215.5</v>
      </c>
    </row>
    <row r="118" spans="1:10" ht="38.25">
      <c r="A118" s="40" t="s">
        <v>420</v>
      </c>
      <c r="B118" s="7">
        <v>968</v>
      </c>
      <c r="C118" s="10" t="s">
        <v>26</v>
      </c>
      <c r="D118" s="10" t="s">
        <v>44</v>
      </c>
      <c r="E118" s="11" t="s">
        <v>422</v>
      </c>
      <c r="F118" s="7"/>
      <c r="G118" s="44">
        <f t="shared" ref="G118:H120" si="10">G119</f>
        <v>30</v>
      </c>
      <c r="H118" s="44">
        <f t="shared" si="10"/>
        <v>30</v>
      </c>
    </row>
    <row r="119" spans="1:10" s="41" customFormat="1" ht="38.25">
      <c r="A119" s="16" t="s">
        <v>421</v>
      </c>
      <c r="B119" s="4">
        <v>968</v>
      </c>
      <c r="C119" s="4" t="s">
        <v>26</v>
      </c>
      <c r="D119" s="4" t="s">
        <v>44</v>
      </c>
      <c r="E119" s="4" t="s">
        <v>423</v>
      </c>
      <c r="F119" s="4"/>
      <c r="G119" s="5">
        <f t="shared" si="10"/>
        <v>30</v>
      </c>
      <c r="H119" s="5">
        <f t="shared" si="10"/>
        <v>30</v>
      </c>
    </row>
    <row r="120" spans="1:10" ht="25.5">
      <c r="A120" s="17" t="s">
        <v>128</v>
      </c>
      <c r="B120" s="4">
        <v>968</v>
      </c>
      <c r="C120" s="4" t="s">
        <v>26</v>
      </c>
      <c r="D120" s="4" t="s">
        <v>44</v>
      </c>
      <c r="E120" s="4" t="s">
        <v>424</v>
      </c>
      <c r="F120" s="4"/>
      <c r="G120" s="5">
        <f t="shared" si="10"/>
        <v>30</v>
      </c>
      <c r="H120" s="5">
        <f t="shared" si="10"/>
        <v>30</v>
      </c>
    </row>
    <row r="121" spans="1:10" s="41" customFormat="1">
      <c r="A121" s="26" t="s">
        <v>405</v>
      </c>
      <c r="B121" s="6">
        <v>968</v>
      </c>
      <c r="C121" s="6" t="s">
        <v>26</v>
      </c>
      <c r="D121" s="6" t="s">
        <v>44</v>
      </c>
      <c r="E121" s="6" t="s">
        <v>424</v>
      </c>
      <c r="F121" s="6" t="s">
        <v>102</v>
      </c>
      <c r="G121" s="20">
        <v>30</v>
      </c>
      <c r="H121" s="20">
        <v>30</v>
      </c>
    </row>
    <row r="122" spans="1:10" ht="38.25">
      <c r="A122" s="66" t="s">
        <v>441</v>
      </c>
      <c r="B122" s="7" t="s">
        <v>121</v>
      </c>
      <c r="C122" s="10" t="s">
        <v>26</v>
      </c>
      <c r="D122" s="10" t="s">
        <v>44</v>
      </c>
      <c r="E122" s="10" t="s">
        <v>429</v>
      </c>
      <c r="F122" s="10"/>
      <c r="G122" s="44">
        <f t="shared" ref="G122:H124" si="11">G123</f>
        <v>181</v>
      </c>
      <c r="H122" s="44">
        <f t="shared" si="11"/>
        <v>181</v>
      </c>
    </row>
    <row r="123" spans="1:10" ht="51">
      <c r="A123" s="29" t="s">
        <v>428</v>
      </c>
      <c r="B123" s="6" t="s">
        <v>121</v>
      </c>
      <c r="C123" s="4" t="s">
        <v>26</v>
      </c>
      <c r="D123" s="4" t="s">
        <v>44</v>
      </c>
      <c r="E123" s="4" t="s">
        <v>430</v>
      </c>
      <c r="F123" s="4"/>
      <c r="G123" s="5">
        <f t="shared" si="11"/>
        <v>181</v>
      </c>
      <c r="H123" s="5">
        <f t="shared" si="11"/>
        <v>181</v>
      </c>
    </row>
    <row r="124" spans="1:10" ht="25.5">
      <c r="A124" s="17" t="s">
        <v>128</v>
      </c>
      <c r="B124" s="4" t="s">
        <v>121</v>
      </c>
      <c r="C124" s="4" t="s">
        <v>26</v>
      </c>
      <c r="D124" s="4" t="s">
        <v>44</v>
      </c>
      <c r="E124" s="4" t="s">
        <v>431</v>
      </c>
      <c r="F124" s="4"/>
      <c r="G124" s="5">
        <f t="shared" si="11"/>
        <v>181</v>
      </c>
      <c r="H124" s="5">
        <f t="shared" si="11"/>
        <v>181</v>
      </c>
    </row>
    <row r="125" spans="1:10" ht="25.5">
      <c r="A125" s="36" t="s">
        <v>76</v>
      </c>
      <c r="B125" s="6" t="s">
        <v>121</v>
      </c>
      <c r="C125" s="6" t="s">
        <v>26</v>
      </c>
      <c r="D125" s="6" t="s">
        <v>44</v>
      </c>
      <c r="E125" s="6" t="s">
        <v>431</v>
      </c>
      <c r="F125" s="6" t="s">
        <v>77</v>
      </c>
      <c r="G125" s="85">
        <v>181</v>
      </c>
      <c r="H125" s="85">
        <v>181</v>
      </c>
    </row>
    <row r="126" spans="1:10" s="41" customFormat="1">
      <c r="A126" s="40" t="s">
        <v>118</v>
      </c>
      <c r="B126" s="10">
        <v>968</v>
      </c>
      <c r="C126" s="10" t="s">
        <v>26</v>
      </c>
      <c r="D126" s="10" t="s">
        <v>44</v>
      </c>
      <c r="E126" s="10" t="s">
        <v>142</v>
      </c>
      <c r="F126" s="10"/>
      <c r="G126" s="54">
        <f>G127</f>
        <v>4.5</v>
      </c>
      <c r="H126" s="54">
        <f>H127</f>
        <v>4.5</v>
      </c>
    </row>
    <row r="127" spans="1:10" ht="63.75">
      <c r="A127" s="25" t="s">
        <v>70</v>
      </c>
      <c r="B127" s="4">
        <v>968</v>
      </c>
      <c r="C127" s="4" t="s">
        <v>26</v>
      </c>
      <c r="D127" s="4" t="s">
        <v>44</v>
      </c>
      <c r="E127" s="4" t="s">
        <v>165</v>
      </c>
      <c r="F127" s="4"/>
      <c r="G127" s="89">
        <f>G128</f>
        <v>4.5</v>
      </c>
      <c r="H127" s="89">
        <f>H128</f>
        <v>4.5</v>
      </c>
    </row>
    <row r="128" spans="1:10" ht="25.5">
      <c r="A128" s="36" t="s">
        <v>76</v>
      </c>
      <c r="B128" s="6">
        <v>968</v>
      </c>
      <c r="C128" s="6" t="s">
        <v>26</v>
      </c>
      <c r="D128" s="6" t="s">
        <v>44</v>
      </c>
      <c r="E128" s="6" t="s">
        <v>165</v>
      </c>
      <c r="F128" s="6" t="s">
        <v>77</v>
      </c>
      <c r="G128" s="85">
        <v>4.5</v>
      </c>
      <c r="H128" s="85">
        <v>4.5</v>
      </c>
      <c r="I128" s="1">
        <v>4.5</v>
      </c>
      <c r="J128" s="1">
        <v>4.5</v>
      </c>
    </row>
    <row r="129" spans="1:10" s="41" customFormat="1">
      <c r="A129" s="34" t="s">
        <v>98</v>
      </c>
      <c r="B129" s="9" t="s">
        <v>121</v>
      </c>
      <c r="C129" s="9" t="s">
        <v>28</v>
      </c>
      <c r="D129" s="9"/>
      <c r="E129" s="9"/>
      <c r="F129" s="9"/>
      <c r="G129" s="52">
        <f>G130</f>
        <v>1064</v>
      </c>
      <c r="H129" s="52">
        <f>H130</f>
        <v>1064</v>
      </c>
    </row>
    <row r="130" spans="1:10">
      <c r="A130" s="28" t="s">
        <v>402</v>
      </c>
      <c r="B130" s="8" t="s">
        <v>121</v>
      </c>
      <c r="C130" s="8" t="s">
        <v>28</v>
      </c>
      <c r="D130" s="8" t="s">
        <v>25</v>
      </c>
      <c r="E130" s="8"/>
      <c r="F130" s="8"/>
      <c r="G130" s="53">
        <f t="shared" ref="G130:H132" si="12">G131</f>
        <v>1064</v>
      </c>
      <c r="H130" s="53">
        <f t="shared" si="12"/>
        <v>1064</v>
      </c>
    </row>
    <row r="131" spans="1:10">
      <c r="A131" s="40" t="s">
        <v>118</v>
      </c>
      <c r="B131" s="6" t="s">
        <v>121</v>
      </c>
      <c r="C131" s="10" t="s">
        <v>28</v>
      </c>
      <c r="D131" s="10" t="s">
        <v>25</v>
      </c>
      <c r="E131" s="10" t="s">
        <v>142</v>
      </c>
      <c r="F131" s="40"/>
      <c r="G131" s="75">
        <f t="shared" si="12"/>
        <v>1064</v>
      </c>
      <c r="H131" s="75">
        <f t="shared" si="12"/>
        <v>1064</v>
      </c>
    </row>
    <row r="132" spans="1:10" ht="25.5">
      <c r="A132" s="16" t="s">
        <v>432</v>
      </c>
      <c r="B132" s="4" t="s">
        <v>121</v>
      </c>
      <c r="C132" s="4" t="s">
        <v>28</v>
      </c>
      <c r="D132" s="4" t="s">
        <v>25</v>
      </c>
      <c r="E132" s="4" t="s">
        <v>433</v>
      </c>
      <c r="F132" s="4"/>
      <c r="G132" s="89">
        <f t="shared" si="12"/>
        <v>1064</v>
      </c>
      <c r="H132" s="89">
        <f t="shared" si="12"/>
        <v>1064</v>
      </c>
    </row>
    <row r="133" spans="1:10">
      <c r="A133" s="36" t="s">
        <v>132</v>
      </c>
      <c r="B133" s="6" t="s">
        <v>121</v>
      </c>
      <c r="C133" s="6" t="s">
        <v>28</v>
      </c>
      <c r="D133" s="6" t="s">
        <v>25</v>
      </c>
      <c r="E133" s="6" t="s">
        <v>433</v>
      </c>
      <c r="F133" s="6" t="s">
        <v>84</v>
      </c>
      <c r="G133" s="20">
        <f>532+532</f>
        <v>1064</v>
      </c>
      <c r="H133" s="20">
        <f>532+532</f>
        <v>1064</v>
      </c>
      <c r="I133" s="1">
        <v>532</v>
      </c>
      <c r="J133" s="1">
        <v>532</v>
      </c>
    </row>
    <row r="134" spans="1:10">
      <c r="A134" s="22" t="s">
        <v>87</v>
      </c>
      <c r="B134" s="9">
        <v>968</v>
      </c>
      <c r="C134" s="9" t="s">
        <v>32</v>
      </c>
      <c r="D134" s="9"/>
      <c r="E134" s="9"/>
      <c r="F134" s="9"/>
      <c r="G134" s="52">
        <f>G135+G145+G140</f>
        <v>11689.55768</v>
      </c>
      <c r="H134" s="52">
        <f>H135+H145+H140</f>
        <v>10834</v>
      </c>
    </row>
    <row r="135" spans="1:10" ht="13.5">
      <c r="A135" s="28" t="s">
        <v>21</v>
      </c>
      <c r="B135" s="13">
        <v>968</v>
      </c>
      <c r="C135" s="8" t="s">
        <v>32</v>
      </c>
      <c r="D135" s="8" t="s">
        <v>23</v>
      </c>
      <c r="E135" s="8"/>
      <c r="F135" s="8"/>
      <c r="G135" s="53">
        <f t="shared" ref="G135:H138" si="13">G136</f>
        <v>5941.1</v>
      </c>
      <c r="H135" s="53">
        <f t="shared" si="13"/>
        <v>5941.1</v>
      </c>
    </row>
    <row r="136" spans="1:10">
      <c r="A136" s="35" t="s">
        <v>118</v>
      </c>
      <c r="B136" s="10">
        <v>968</v>
      </c>
      <c r="C136" s="10" t="s">
        <v>32</v>
      </c>
      <c r="D136" s="10" t="s">
        <v>23</v>
      </c>
      <c r="E136" s="10" t="s">
        <v>142</v>
      </c>
      <c r="F136" s="10"/>
      <c r="G136" s="54">
        <f t="shared" si="13"/>
        <v>5941.1</v>
      </c>
      <c r="H136" s="54">
        <f t="shared" si="13"/>
        <v>5941.1</v>
      </c>
    </row>
    <row r="137" spans="1:10" ht="25.5">
      <c r="A137" s="25" t="s">
        <v>48</v>
      </c>
      <c r="B137" s="6">
        <v>968</v>
      </c>
      <c r="C137" s="4" t="s">
        <v>32</v>
      </c>
      <c r="D137" s="4" t="s">
        <v>23</v>
      </c>
      <c r="E137" s="4" t="s">
        <v>166</v>
      </c>
      <c r="F137" s="4"/>
      <c r="G137" s="5">
        <f t="shared" si="13"/>
        <v>5941.1</v>
      </c>
      <c r="H137" s="5">
        <f t="shared" si="13"/>
        <v>5941.1</v>
      </c>
    </row>
    <row r="138" spans="1:10">
      <c r="A138" s="74" t="s">
        <v>108</v>
      </c>
      <c r="B138" s="4">
        <v>968</v>
      </c>
      <c r="C138" s="4" t="s">
        <v>32</v>
      </c>
      <c r="D138" s="4" t="s">
        <v>23</v>
      </c>
      <c r="E138" s="4" t="s">
        <v>167</v>
      </c>
      <c r="F138" s="4"/>
      <c r="G138" s="5">
        <f t="shared" si="13"/>
        <v>5941.1</v>
      </c>
      <c r="H138" s="5">
        <f t="shared" si="13"/>
        <v>5941.1</v>
      </c>
    </row>
    <row r="139" spans="1:10" ht="25.5">
      <c r="A139" s="19" t="s">
        <v>473</v>
      </c>
      <c r="B139" s="6">
        <v>968</v>
      </c>
      <c r="C139" s="6" t="s">
        <v>32</v>
      </c>
      <c r="D139" s="6" t="s">
        <v>23</v>
      </c>
      <c r="E139" s="6" t="s">
        <v>167</v>
      </c>
      <c r="F139" s="6" t="s">
        <v>472</v>
      </c>
      <c r="G139" s="20">
        <v>5941.1</v>
      </c>
      <c r="H139" s="20">
        <v>5941.1</v>
      </c>
    </row>
    <row r="140" spans="1:10">
      <c r="A140" s="28" t="s">
        <v>123</v>
      </c>
      <c r="B140" s="8">
        <v>968</v>
      </c>
      <c r="C140" s="8" t="s">
        <v>32</v>
      </c>
      <c r="D140" s="8" t="s">
        <v>38</v>
      </c>
      <c r="E140" s="8"/>
      <c r="F140" s="8"/>
      <c r="G140" s="53">
        <f t="shared" ref="G140:H143" si="14">G141</f>
        <v>855.55768</v>
      </c>
      <c r="H140" s="53">
        <f t="shared" si="14"/>
        <v>0</v>
      </c>
    </row>
    <row r="141" spans="1:10" ht="25.5">
      <c r="A141" s="119" t="s">
        <v>493</v>
      </c>
      <c r="B141" s="96" t="s">
        <v>121</v>
      </c>
      <c r="C141" s="96" t="s">
        <v>32</v>
      </c>
      <c r="D141" s="96" t="s">
        <v>38</v>
      </c>
      <c r="E141" s="96" t="s">
        <v>360</v>
      </c>
      <c r="F141" s="96"/>
      <c r="G141" s="120">
        <f t="shared" si="14"/>
        <v>855.55768</v>
      </c>
      <c r="H141" s="120">
        <f t="shared" si="14"/>
        <v>0</v>
      </c>
    </row>
    <row r="142" spans="1:10" ht="25.5">
      <c r="A142" s="121" t="s">
        <v>494</v>
      </c>
      <c r="B142" s="100" t="s">
        <v>121</v>
      </c>
      <c r="C142" s="100" t="s">
        <v>32</v>
      </c>
      <c r="D142" s="100" t="s">
        <v>38</v>
      </c>
      <c r="E142" s="100" t="s">
        <v>495</v>
      </c>
      <c r="F142" s="100"/>
      <c r="G142" s="89">
        <f t="shared" si="14"/>
        <v>855.55768</v>
      </c>
      <c r="H142" s="89">
        <f t="shared" si="14"/>
        <v>0</v>
      </c>
    </row>
    <row r="143" spans="1:10" ht="13.5">
      <c r="A143" s="121" t="s">
        <v>496</v>
      </c>
      <c r="B143" s="100" t="s">
        <v>121</v>
      </c>
      <c r="C143" s="100" t="s">
        <v>32</v>
      </c>
      <c r="D143" s="100" t="s">
        <v>38</v>
      </c>
      <c r="E143" s="100" t="s">
        <v>497</v>
      </c>
      <c r="F143" s="122"/>
      <c r="G143" s="89">
        <f t="shared" si="14"/>
        <v>855.55768</v>
      </c>
      <c r="H143" s="89">
        <f t="shared" si="14"/>
        <v>0</v>
      </c>
    </row>
    <row r="144" spans="1:10">
      <c r="A144" s="26" t="s">
        <v>405</v>
      </c>
      <c r="B144" s="94" t="s">
        <v>121</v>
      </c>
      <c r="C144" s="94" t="s">
        <v>32</v>
      </c>
      <c r="D144" s="94" t="s">
        <v>38</v>
      </c>
      <c r="E144" s="94" t="s">
        <v>497</v>
      </c>
      <c r="F144" s="94" t="s">
        <v>102</v>
      </c>
      <c r="G144" s="85">
        <f>770+85.55768</f>
        <v>855.55768</v>
      </c>
      <c r="H144" s="85">
        <v>0</v>
      </c>
      <c r="I144" s="1">
        <v>770</v>
      </c>
      <c r="J144" s="1">
        <v>0</v>
      </c>
    </row>
    <row r="145" spans="1:10">
      <c r="A145" s="28" t="s">
        <v>51</v>
      </c>
      <c r="B145" s="8">
        <v>968</v>
      </c>
      <c r="C145" s="8" t="s">
        <v>32</v>
      </c>
      <c r="D145" s="8" t="s">
        <v>31</v>
      </c>
      <c r="E145" s="8"/>
      <c r="F145" s="8"/>
      <c r="G145" s="53">
        <f>G146</f>
        <v>4892.9000000000005</v>
      </c>
      <c r="H145" s="53">
        <f>H146</f>
        <v>4892.9000000000005</v>
      </c>
    </row>
    <row r="146" spans="1:10">
      <c r="A146" s="35" t="s">
        <v>118</v>
      </c>
      <c r="B146" s="10">
        <v>968</v>
      </c>
      <c r="C146" s="10" t="s">
        <v>32</v>
      </c>
      <c r="D146" s="10" t="s">
        <v>31</v>
      </c>
      <c r="E146" s="10" t="s">
        <v>142</v>
      </c>
      <c r="F146" s="10"/>
      <c r="G146" s="54">
        <f>G147+G152+G157</f>
        <v>4892.9000000000005</v>
      </c>
      <c r="H146" s="54">
        <f>H147+H152+H157</f>
        <v>4892.9000000000005</v>
      </c>
    </row>
    <row r="147" spans="1:10" ht="51">
      <c r="A147" s="25" t="s">
        <v>68</v>
      </c>
      <c r="B147" s="4">
        <v>968</v>
      </c>
      <c r="C147" s="4" t="s">
        <v>32</v>
      </c>
      <c r="D147" s="4" t="s">
        <v>31</v>
      </c>
      <c r="E147" s="4" t="s">
        <v>168</v>
      </c>
      <c r="F147" s="4"/>
      <c r="G147" s="89">
        <f>SUM(G148:G151)</f>
        <v>1884.9</v>
      </c>
      <c r="H147" s="89">
        <f>SUM(H148:H151)</f>
        <v>1884.9</v>
      </c>
    </row>
    <row r="148" spans="1:10" ht="25.5">
      <c r="A148" s="36" t="s">
        <v>140</v>
      </c>
      <c r="B148" s="6">
        <v>968</v>
      </c>
      <c r="C148" s="6" t="s">
        <v>32</v>
      </c>
      <c r="D148" s="6" t="s">
        <v>31</v>
      </c>
      <c r="E148" s="6" t="s">
        <v>168</v>
      </c>
      <c r="F148" s="6" t="s">
        <v>73</v>
      </c>
      <c r="G148" s="85">
        <v>1393.9</v>
      </c>
      <c r="H148" s="85">
        <v>1393.9</v>
      </c>
      <c r="I148" s="1">
        <v>1884.9</v>
      </c>
      <c r="J148" s="1">
        <v>1884.9</v>
      </c>
    </row>
    <row r="149" spans="1:10" ht="38.25">
      <c r="A149" s="36" t="s">
        <v>141</v>
      </c>
      <c r="B149" s="6">
        <v>968</v>
      </c>
      <c r="C149" s="6" t="s">
        <v>32</v>
      </c>
      <c r="D149" s="6" t="s">
        <v>31</v>
      </c>
      <c r="E149" s="6" t="s">
        <v>168</v>
      </c>
      <c r="F149" s="6" t="s">
        <v>134</v>
      </c>
      <c r="G149" s="85">
        <v>420.9</v>
      </c>
      <c r="H149" s="85">
        <v>420.9</v>
      </c>
    </row>
    <row r="150" spans="1:10" ht="25.5">
      <c r="A150" s="36" t="s">
        <v>74</v>
      </c>
      <c r="B150" s="6">
        <v>968</v>
      </c>
      <c r="C150" s="6" t="s">
        <v>32</v>
      </c>
      <c r="D150" s="6" t="s">
        <v>31</v>
      </c>
      <c r="E150" s="6" t="s">
        <v>168</v>
      </c>
      <c r="F150" s="6" t="s">
        <v>75</v>
      </c>
      <c r="G150" s="85">
        <f>15+6</f>
        <v>21</v>
      </c>
      <c r="H150" s="85">
        <f>15+6</f>
        <v>21</v>
      </c>
    </row>
    <row r="151" spans="1:10" ht="25.5">
      <c r="A151" s="36" t="s">
        <v>76</v>
      </c>
      <c r="B151" s="6">
        <v>968</v>
      </c>
      <c r="C151" s="6" t="s">
        <v>32</v>
      </c>
      <c r="D151" s="6" t="s">
        <v>31</v>
      </c>
      <c r="E151" s="6" t="s">
        <v>168</v>
      </c>
      <c r="F151" s="6" t="s">
        <v>77</v>
      </c>
      <c r="G151" s="85">
        <f>44.1+5</f>
        <v>49.1</v>
      </c>
      <c r="H151" s="85">
        <f>44.1+5</f>
        <v>49.1</v>
      </c>
    </row>
    <row r="152" spans="1:10" ht="38.25">
      <c r="A152" s="25" t="s">
        <v>67</v>
      </c>
      <c r="B152" s="4">
        <v>968</v>
      </c>
      <c r="C152" s="4" t="s">
        <v>32</v>
      </c>
      <c r="D152" s="4" t="s">
        <v>31</v>
      </c>
      <c r="E152" s="4" t="s">
        <v>170</v>
      </c>
      <c r="F152" s="4"/>
      <c r="G152" s="89">
        <f>SUM(G153:G156)</f>
        <v>2513.1999999999998</v>
      </c>
      <c r="H152" s="89">
        <f>SUM(H153:H156)</f>
        <v>2513.1999999999998</v>
      </c>
    </row>
    <row r="153" spans="1:10" ht="25.5">
      <c r="A153" s="36" t="s">
        <v>140</v>
      </c>
      <c r="B153" s="6">
        <v>968</v>
      </c>
      <c r="C153" s="6" t="s">
        <v>32</v>
      </c>
      <c r="D153" s="6" t="s">
        <v>31</v>
      </c>
      <c r="E153" s="6" t="s">
        <v>170</v>
      </c>
      <c r="F153" s="6" t="s">
        <v>73</v>
      </c>
      <c r="G153" s="85">
        <v>1732</v>
      </c>
      <c r="H153" s="85">
        <v>1732</v>
      </c>
      <c r="I153" s="1">
        <v>2513.1999999999998</v>
      </c>
      <c r="J153" s="1">
        <v>2513.1999999999998</v>
      </c>
    </row>
    <row r="154" spans="1:10" s="41" customFormat="1" ht="38.25">
      <c r="A154" s="36" t="s">
        <v>141</v>
      </c>
      <c r="B154" s="6">
        <v>968</v>
      </c>
      <c r="C154" s="6" t="s">
        <v>32</v>
      </c>
      <c r="D154" s="6" t="s">
        <v>31</v>
      </c>
      <c r="E154" s="6" t="s">
        <v>170</v>
      </c>
      <c r="F154" s="6" t="s">
        <v>134</v>
      </c>
      <c r="G154" s="85">
        <v>523.1</v>
      </c>
      <c r="H154" s="85">
        <v>523.1</v>
      </c>
    </row>
    <row r="155" spans="1:10" ht="25.5">
      <c r="A155" s="36" t="s">
        <v>74</v>
      </c>
      <c r="B155" s="6">
        <v>968</v>
      </c>
      <c r="C155" s="6" t="s">
        <v>32</v>
      </c>
      <c r="D155" s="6" t="s">
        <v>31</v>
      </c>
      <c r="E155" s="6" t="s">
        <v>170</v>
      </c>
      <c r="F155" s="6" t="s">
        <v>75</v>
      </c>
      <c r="G155" s="85">
        <v>183.2</v>
      </c>
      <c r="H155" s="85">
        <v>183.2</v>
      </c>
    </row>
    <row r="156" spans="1:10" ht="25.5">
      <c r="A156" s="36" t="s">
        <v>76</v>
      </c>
      <c r="B156" s="6">
        <v>968</v>
      </c>
      <c r="C156" s="6" t="s">
        <v>32</v>
      </c>
      <c r="D156" s="6" t="s">
        <v>31</v>
      </c>
      <c r="E156" s="6" t="s">
        <v>170</v>
      </c>
      <c r="F156" s="6" t="s">
        <v>77</v>
      </c>
      <c r="G156" s="85">
        <v>74.900000000000006</v>
      </c>
      <c r="H156" s="85">
        <v>74.900000000000006</v>
      </c>
    </row>
    <row r="157" spans="1:10" ht="51">
      <c r="A157" s="30" t="s">
        <v>370</v>
      </c>
      <c r="B157" s="4" t="s">
        <v>121</v>
      </c>
      <c r="C157" s="4" t="s">
        <v>32</v>
      </c>
      <c r="D157" s="4" t="s">
        <v>31</v>
      </c>
      <c r="E157" s="4" t="s">
        <v>371</v>
      </c>
      <c r="F157" s="4"/>
      <c r="G157" s="89">
        <f>SUM(G158:G161)</f>
        <v>494.79999999999995</v>
      </c>
      <c r="H157" s="89">
        <f>SUM(H158:H161)</f>
        <v>494.79999999999995</v>
      </c>
    </row>
    <row r="158" spans="1:10" ht="25.5">
      <c r="A158" s="36" t="s">
        <v>140</v>
      </c>
      <c r="B158" s="6" t="s">
        <v>121</v>
      </c>
      <c r="C158" s="6" t="s">
        <v>32</v>
      </c>
      <c r="D158" s="6" t="s">
        <v>31</v>
      </c>
      <c r="E158" s="6" t="s">
        <v>371</v>
      </c>
      <c r="F158" s="6" t="s">
        <v>73</v>
      </c>
      <c r="G158" s="85">
        <v>209.01599999999999</v>
      </c>
      <c r="H158" s="85">
        <v>209.01599999999999</v>
      </c>
      <c r="I158" s="1">
        <v>494.8</v>
      </c>
      <c r="J158" s="1">
        <v>494.8</v>
      </c>
    </row>
    <row r="159" spans="1:10" ht="38.25">
      <c r="A159" s="36" t="s">
        <v>141</v>
      </c>
      <c r="B159" s="6" t="s">
        <v>121</v>
      </c>
      <c r="C159" s="6" t="s">
        <v>32</v>
      </c>
      <c r="D159" s="6" t="s">
        <v>31</v>
      </c>
      <c r="E159" s="6" t="s">
        <v>371</v>
      </c>
      <c r="F159" s="6" t="s">
        <v>134</v>
      </c>
      <c r="G159" s="85">
        <v>63.124000000000002</v>
      </c>
      <c r="H159" s="85">
        <v>63.124000000000002</v>
      </c>
    </row>
    <row r="160" spans="1:10" ht="25.5">
      <c r="A160" s="36" t="s">
        <v>76</v>
      </c>
      <c r="B160" s="6" t="s">
        <v>121</v>
      </c>
      <c r="C160" s="6" t="s">
        <v>32</v>
      </c>
      <c r="D160" s="6" t="s">
        <v>31</v>
      </c>
      <c r="E160" s="6" t="s">
        <v>371</v>
      </c>
      <c r="F160" s="6" t="s">
        <v>77</v>
      </c>
      <c r="G160" s="85">
        <v>148.44</v>
      </c>
      <c r="H160" s="85">
        <v>148.44</v>
      </c>
    </row>
    <row r="161" spans="1:10">
      <c r="A161" s="36" t="s">
        <v>373</v>
      </c>
      <c r="B161" s="6" t="s">
        <v>121</v>
      </c>
      <c r="C161" s="6" t="s">
        <v>32</v>
      </c>
      <c r="D161" s="6" t="s">
        <v>31</v>
      </c>
      <c r="E161" s="6" t="s">
        <v>371</v>
      </c>
      <c r="F161" s="6" t="s">
        <v>372</v>
      </c>
      <c r="G161" s="85">
        <v>74.22</v>
      </c>
      <c r="H161" s="85">
        <v>74.22</v>
      </c>
    </row>
    <row r="162" spans="1:10" ht="25.5">
      <c r="A162" s="49" t="s">
        <v>133</v>
      </c>
      <c r="B162" s="50">
        <v>969</v>
      </c>
      <c r="C162" s="50"/>
      <c r="D162" s="50"/>
      <c r="E162" s="50"/>
      <c r="F162" s="50"/>
      <c r="G162" s="51">
        <f>G163+G262</f>
        <v>906897.78150000004</v>
      </c>
      <c r="H162" s="51">
        <f>H163+H262</f>
        <v>905680.0769000001</v>
      </c>
    </row>
    <row r="163" spans="1:10">
      <c r="A163" s="22" t="s">
        <v>86</v>
      </c>
      <c r="B163" s="9">
        <v>969</v>
      </c>
      <c r="C163" s="9" t="s">
        <v>27</v>
      </c>
      <c r="D163" s="9"/>
      <c r="E163" s="9"/>
      <c r="F163" s="9"/>
      <c r="G163" s="56">
        <f>G164+G176+G206+G222+G233+G216</f>
        <v>905397.78150000004</v>
      </c>
      <c r="H163" s="56">
        <f>H164+H176+H206+H222+H233+H216</f>
        <v>904180.0769000001</v>
      </c>
    </row>
    <row r="164" spans="1:10">
      <c r="A164" s="28" t="s">
        <v>17</v>
      </c>
      <c r="B164" s="8">
        <v>969</v>
      </c>
      <c r="C164" s="8" t="s">
        <v>27</v>
      </c>
      <c r="D164" s="8" t="s">
        <v>23</v>
      </c>
      <c r="E164" s="8"/>
      <c r="F164" s="8"/>
      <c r="G164" s="53">
        <f t="shared" ref="G164:H166" si="15">G165</f>
        <v>195659.48100000003</v>
      </c>
      <c r="H164" s="53">
        <f t="shared" si="15"/>
        <v>192340.63700000002</v>
      </c>
    </row>
    <row r="165" spans="1:10" ht="25.5">
      <c r="A165" s="35" t="s">
        <v>443</v>
      </c>
      <c r="B165" s="10" t="s">
        <v>117</v>
      </c>
      <c r="C165" s="10" t="s">
        <v>27</v>
      </c>
      <c r="D165" s="10" t="s">
        <v>23</v>
      </c>
      <c r="E165" s="10" t="s">
        <v>197</v>
      </c>
      <c r="F165" s="10"/>
      <c r="G165" s="54">
        <f>G166</f>
        <v>195659.48100000003</v>
      </c>
      <c r="H165" s="54">
        <f t="shared" si="15"/>
        <v>192340.63700000002</v>
      </c>
    </row>
    <row r="166" spans="1:10" s="41" customFormat="1" ht="27">
      <c r="A166" s="32" t="s">
        <v>311</v>
      </c>
      <c r="B166" s="7" t="s">
        <v>117</v>
      </c>
      <c r="C166" s="7" t="s">
        <v>27</v>
      </c>
      <c r="D166" s="7" t="s">
        <v>23</v>
      </c>
      <c r="E166" s="7" t="s">
        <v>198</v>
      </c>
      <c r="F166" s="7"/>
      <c r="G166" s="44">
        <f>G167</f>
        <v>195659.48100000003</v>
      </c>
      <c r="H166" s="44">
        <f t="shared" si="15"/>
        <v>192340.63700000002</v>
      </c>
    </row>
    <row r="167" spans="1:10" ht="38.25">
      <c r="A167" s="31" t="s">
        <v>199</v>
      </c>
      <c r="B167" s="4">
        <v>969</v>
      </c>
      <c r="C167" s="4" t="s">
        <v>27</v>
      </c>
      <c r="D167" s="4" t="s">
        <v>23</v>
      </c>
      <c r="E167" s="4" t="s">
        <v>200</v>
      </c>
      <c r="F167" s="4"/>
      <c r="G167" s="5">
        <f>G168+G174+G170+G172</f>
        <v>195659.48100000003</v>
      </c>
      <c r="H167" s="5">
        <f>H168+H174+H170+H172</f>
        <v>192340.63700000002</v>
      </c>
    </row>
    <row r="168" spans="1:10" ht="25.5">
      <c r="A168" s="23" t="s">
        <v>124</v>
      </c>
      <c r="B168" s="4">
        <v>969</v>
      </c>
      <c r="C168" s="4" t="s">
        <v>27</v>
      </c>
      <c r="D168" s="4" t="s">
        <v>23</v>
      </c>
      <c r="E168" s="4" t="s">
        <v>203</v>
      </c>
      <c r="F168" s="4"/>
      <c r="G168" s="89">
        <f>G169</f>
        <v>157463.1</v>
      </c>
      <c r="H168" s="89">
        <f>H169</f>
        <v>157463.1</v>
      </c>
    </row>
    <row r="169" spans="1:10" ht="51">
      <c r="A169" s="62" t="s">
        <v>88</v>
      </c>
      <c r="B169" s="6">
        <v>969</v>
      </c>
      <c r="C169" s="6" t="s">
        <v>27</v>
      </c>
      <c r="D169" s="6" t="s">
        <v>23</v>
      </c>
      <c r="E169" s="6" t="s">
        <v>203</v>
      </c>
      <c r="F169" s="6" t="s">
        <v>94</v>
      </c>
      <c r="G169" s="85">
        <v>157463.1</v>
      </c>
      <c r="H169" s="85">
        <v>157463.1</v>
      </c>
      <c r="I169" s="1">
        <v>157463.1</v>
      </c>
      <c r="J169" s="1">
        <v>157463.1</v>
      </c>
    </row>
    <row r="170" spans="1:10" ht="38.25">
      <c r="A170" s="31" t="s">
        <v>393</v>
      </c>
      <c r="B170" s="4" t="s">
        <v>117</v>
      </c>
      <c r="C170" s="4" t="s">
        <v>27</v>
      </c>
      <c r="D170" s="4" t="s">
        <v>23</v>
      </c>
      <c r="E170" s="4" t="s">
        <v>394</v>
      </c>
      <c r="F170" s="4"/>
      <c r="G170" s="89">
        <f>G171</f>
        <v>552.70000000000005</v>
      </c>
      <c r="H170" s="89">
        <f>H171</f>
        <v>552.70000000000005</v>
      </c>
    </row>
    <row r="171" spans="1:10" ht="51">
      <c r="A171" s="62" t="s">
        <v>88</v>
      </c>
      <c r="B171" s="6" t="s">
        <v>117</v>
      </c>
      <c r="C171" s="6" t="s">
        <v>27</v>
      </c>
      <c r="D171" s="6" t="s">
        <v>23</v>
      </c>
      <c r="E171" s="6" t="s">
        <v>394</v>
      </c>
      <c r="F171" s="6" t="s">
        <v>94</v>
      </c>
      <c r="G171" s="85">
        <v>552.70000000000005</v>
      </c>
      <c r="H171" s="85">
        <v>552.70000000000005</v>
      </c>
      <c r="I171" s="1">
        <v>552.70000000000005</v>
      </c>
      <c r="J171" s="1">
        <v>552.70000000000005</v>
      </c>
    </row>
    <row r="172" spans="1:10" ht="63.75">
      <c r="A172" s="31" t="s">
        <v>456</v>
      </c>
      <c r="B172" s="4" t="s">
        <v>117</v>
      </c>
      <c r="C172" s="4" t="s">
        <v>27</v>
      </c>
      <c r="D172" s="4" t="s">
        <v>23</v>
      </c>
      <c r="E172" s="4" t="s">
        <v>457</v>
      </c>
      <c r="F172" s="4"/>
      <c r="G172" s="89">
        <f>G173</f>
        <v>648</v>
      </c>
      <c r="H172" s="89">
        <f>H173</f>
        <v>648</v>
      </c>
    </row>
    <row r="173" spans="1:10">
      <c r="A173" s="14" t="s">
        <v>90</v>
      </c>
      <c r="B173" s="6" t="s">
        <v>117</v>
      </c>
      <c r="C173" s="6" t="s">
        <v>27</v>
      </c>
      <c r="D173" s="6" t="s">
        <v>23</v>
      </c>
      <c r="E173" s="6" t="s">
        <v>457</v>
      </c>
      <c r="F173" s="6" t="s">
        <v>91</v>
      </c>
      <c r="G173" s="85">
        <f>324+324</f>
        <v>648</v>
      </c>
      <c r="H173" s="85">
        <f>324+324</f>
        <v>648</v>
      </c>
      <c r="I173" s="1">
        <v>324</v>
      </c>
      <c r="J173" s="1">
        <v>324</v>
      </c>
    </row>
    <row r="174" spans="1:10" ht="25.5">
      <c r="A174" s="31" t="s">
        <v>201</v>
      </c>
      <c r="B174" s="4">
        <v>969</v>
      </c>
      <c r="C174" s="4" t="s">
        <v>27</v>
      </c>
      <c r="D174" s="4" t="s">
        <v>23</v>
      </c>
      <c r="E174" s="4" t="s">
        <v>202</v>
      </c>
      <c r="F174" s="4"/>
      <c r="G174" s="5">
        <f>G175</f>
        <v>36995.681000000004</v>
      </c>
      <c r="H174" s="5">
        <f>H175</f>
        <v>33676.837</v>
      </c>
    </row>
    <row r="175" spans="1:10" ht="51">
      <c r="A175" s="62" t="s">
        <v>88</v>
      </c>
      <c r="B175" s="6">
        <v>969</v>
      </c>
      <c r="C175" s="6" t="s">
        <v>27</v>
      </c>
      <c r="D175" s="6" t="s">
        <v>23</v>
      </c>
      <c r="E175" s="6" t="s">
        <v>202</v>
      </c>
      <c r="F175" s="6" t="s">
        <v>94</v>
      </c>
      <c r="G175" s="85">
        <f>16093.8+3797.5+10000+4000+7000-3895.619</f>
        <v>36995.681000000004</v>
      </c>
      <c r="H175" s="85">
        <f>16093.8+3797.5+10000+4000+7000-7214.463</f>
        <v>33676.837</v>
      </c>
    </row>
    <row r="176" spans="1:10">
      <c r="A176" s="24" t="s">
        <v>18</v>
      </c>
      <c r="B176" s="8">
        <v>969</v>
      </c>
      <c r="C176" s="8" t="s">
        <v>27</v>
      </c>
      <c r="D176" s="8" t="s">
        <v>25</v>
      </c>
      <c r="E176" s="8"/>
      <c r="F176" s="8"/>
      <c r="G176" s="53">
        <f>G177</f>
        <v>616932.4</v>
      </c>
      <c r="H176" s="53">
        <f>H177</f>
        <v>619033.54</v>
      </c>
    </row>
    <row r="177" spans="1:10" ht="25.5">
      <c r="A177" s="35" t="s">
        <v>443</v>
      </c>
      <c r="B177" s="7">
        <v>969</v>
      </c>
      <c r="C177" s="7" t="s">
        <v>27</v>
      </c>
      <c r="D177" s="7" t="s">
        <v>25</v>
      </c>
      <c r="E177" s="10" t="s">
        <v>197</v>
      </c>
      <c r="F177" s="7"/>
      <c r="G177" s="44">
        <f>G178</f>
        <v>616932.4</v>
      </c>
      <c r="H177" s="44">
        <f>H178</f>
        <v>619033.54</v>
      </c>
    </row>
    <row r="178" spans="1:10" ht="27">
      <c r="A178" s="32" t="s">
        <v>312</v>
      </c>
      <c r="B178" s="7">
        <v>969</v>
      </c>
      <c r="C178" s="7" t="s">
        <v>27</v>
      </c>
      <c r="D178" s="7" t="s">
        <v>25</v>
      </c>
      <c r="E178" s="7" t="s">
        <v>204</v>
      </c>
      <c r="F178" s="7"/>
      <c r="G178" s="44">
        <f>G179+G200+G203</f>
        <v>616932.4</v>
      </c>
      <c r="H178" s="44">
        <f>H179+H200+H203</f>
        <v>619033.54</v>
      </c>
    </row>
    <row r="179" spans="1:10" ht="25.5">
      <c r="A179" s="31" t="s">
        <v>210</v>
      </c>
      <c r="B179" s="4" t="s">
        <v>117</v>
      </c>
      <c r="C179" s="4" t="s">
        <v>27</v>
      </c>
      <c r="D179" s="4" t="s">
        <v>25</v>
      </c>
      <c r="E179" s="4" t="s">
        <v>206</v>
      </c>
      <c r="F179" s="4"/>
      <c r="G179" s="5">
        <f>G182+G184+G186+G194+G192+G190+G180+G198+G196+G188</f>
        <v>607800.19999999995</v>
      </c>
      <c r="H179" s="5">
        <f>H182+H184+H186+H194+H192+H190+H180+H198+H196+H188</f>
        <v>609901.34</v>
      </c>
    </row>
    <row r="180" spans="1:10" ht="102">
      <c r="A180" s="31" t="s">
        <v>481</v>
      </c>
      <c r="B180" s="4" t="s">
        <v>117</v>
      </c>
      <c r="C180" s="4" t="s">
        <v>27</v>
      </c>
      <c r="D180" s="4" t="s">
        <v>25</v>
      </c>
      <c r="E180" s="4" t="s">
        <v>455</v>
      </c>
      <c r="F180" s="4"/>
      <c r="G180" s="89">
        <f>G181</f>
        <v>62703.7</v>
      </c>
      <c r="H180" s="89">
        <f>H181</f>
        <v>62703.7</v>
      </c>
    </row>
    <row r="181" spans="1:10">
      <c r="A181" s="14" t="s">
        <v>90</v>
      </c>
      <c r="B181" s="6">
        <v>969</v>
      </c>
      <c r="C181" s="6" t="s">
        <v>27</v>
      </c>
      <c r="D181" s="6" t="s">
        <v>25</v>
      </c>
      <c r="E181" s="6" t="s">
        <v>455</v>
      </c>
      <c r="F181" s="6" t="s">
        <v>91</v>
      </c>
      <c r="G181" s="85">
        <v>62703.7</v>
      </c>
      <c r="H181" s="85">
        <v>62703.7</v>
      </c>
      <c r="I181" s="1">
        <v>62703.7</v>
      </c>
      <c r="J181" s="1">
        <v>62703.7</v>
      </c>
    </row>
    <row r="182" spans="1:10" ht="63.75">
      <c r="A182" s="17" t="s">
        <v>125</v>
      </c>
      <c r="B182" s="4" t="s">
        <v>117</v>
      </c>
      <c r="C182" s="4" t="s">
        <v>27</v>
      </c>
      <c r="D182" s="4" t="s">
        <v>25</v>
      </c>
      <c r="E182" s="4" t="s">
        <v>211</v>
      </c>
      <c r="F182" s="4"/>
      <c r="G182" s="89">
        <f>G183</f>
        <v>300594.09999999998</v>
      </c>
      <c r="H182" s="89">
        <f>H183</f>
        <v>300594.09999999998</v>
      </c>
    </row>
    <row r="183" spans="1:10" ht="51">
      <c r="A183" s="26" t="s">
        <v>88</v>
      </c>
      <c r="B183" s="6">
        <v>969</v>
      </c>
      <c r="C183" s="6" t="s">
        <v>27</v>
      </c>
      <c r="D183" s="6" t="s">
        <v>25</v>
      </c>
      <c r="E183" s="6" t="s">
        <v>212</v>
      </c>
      <c r="F183" s="6" t="s">
        <v>94</v>
      </c>
      <c r="G183" s="85">
        <v>300594.09999999998</v>
      </c>
      <c r="H183" s="85">
        <v>300594.09999999998</v>
      </c>
      <c r="I183" s="1">
        <v>300594.09999999998</v>
      </c>
      <c r="J183" s="1">
        <v>300594.09999999998</v>
      </c>
    </row>
    <row r="184" spans="1:10" s="41" customFormat="1" ht="63.75">
      <c r="A184" s="17" t="s">
        <v>392</v>
      </c>
      <c r="B184" s="4" t="s">
        <v>117</v>
      </c>
      <c r="C184" s="4" t="s">
        <v>27</v>
      </c>
      <c r="D184" s="4" t="s">
        <v>25</v>
      </c>
      <c r="E184" s="4" t="s">
        <v>213</v>
      </c>
      <c r="F184" s="4"/>
      <c r="G184" s="89">
        <f>G185</f>
        <v>5565.8</v>
      </c>
      <c r="H184" s="89">
        <f>H185</f>
        <v>5565.8</v>
      </c>
    </row>
    <row r="185" spans="1:10" s="41" customFormat="1">
      <c r="A185" s="14" t="s">
        <v>90</v>
      </c>
      <c r="B185" s="6" t="s">
        <v>117</v>
      </c>
      <c r="C185" s="6" t="s">
        <v>27</v>
      </c>
      <c r="D185" s="6" t="s">
        <v>25</v>
      </c>
      <c r="E185" s="6" t="s">
        <v>213</v>
      </c>
      <c r="F185" s="6" t="s">
        <v>91</v>
      </c>
      <c r="G185" s="85">
        <v>5565.8</v>
      </c>
      <c r="H185" s="85">
        <v>5565.8</v>
      </c>
      <c r="I185" s="41">
        <v>5565.8</v>
      </c>
      <c r="J185" s="41">
        <v>5565.8</v>
      </c>
    </row>
    <row r="186" spans="1:10" ht="38.25">
      <c r="A186" s="31" t="s">
        <v>207</v>
      </c>
      <c r="B186" s="4" t="s">
        <v>117</v>
      </c>
      <c r="C186" s="4" t="s">
        <v>27</v>
      </c>
      <c r="D186" s="4" t="s">
        <v>25</v>
      </c>
      <c r="E186" s="4" t="s">
        <v>208</v>
      </c>
      <c r="F186" s="4"/>
      <c r="G186" s="89">
        <f>G187</f>
        <v>43870.5</v>
      </c>
      <c r="H186" s="89">
        <f>H187</f>
        <v>47033.64</v>
      </c>
    </row>
    <row r="187" spans="1:10" ht="51">
      <c r="A187" s="26" t="s">
        <v>88</v>
      </c>
      <c r="B187" s="6">
        <v>969</v>
      </c>
      <c r="C187" s="6" t="s">
        <v>27</v>
      </c>
      <c r="D187" s="6" t="s">
        <v>25</v>
      </c>
      <c r="E187" s="6" t="s">
        <v>209</v>
      </c>
      <c r="F187" s="6" t="s">
        <v>94</v>
      </c>
      <c r="G187" s="85">
        <f>43870.5</f>
        <v>43870.5</v>
      </c>
      <c r="H187" s="85">
        <f>42291.905+4991.3-249.565</f>
        <v>47033.64</v>
      </c>
    </row>
    <row r="188" spans="1:10" ht="114.75">
      <c r="A188" s="31" t="s">
        <v>485</v>
      </c>
      <c r="B188" s="4" t="s">
        <v>117</v>
      </c>
      <c r="C188" s="4" t="s">
        <v>27</v>
      </c>
      <c r="D188" s="4" t="s">
        <v>25</v>
      </c>
      <c r="E188" s="4" t="s">
        <v>486</v>
      </c>
      <c r="F188" s="4"/>
      <c r="G188" s="89">
        <f>G189</f>
        <v>1750.5</v>
      </c>
      <c r="H188" s="89">
        <f>H189</f>
        <v>1750.5</v>
      </c>
    </row>
    <row r="189" spans="1:10">
      <c r="A189" s="14" t="s">
        <v>90</v>
      </c>
      <c r="B189" s="6" t="s">
        <v>117</v>
      </c>
      <c r="C189" s="6" t="s">
        <v>27</v>
      </c>
      <c r="D189" s="6" t="s">
        <v>25</v>
      </c>
      <c r="E189" s="6" t="s">
        <v>486</v>
      </c>
      <c r="F189" s="6" t="s">
        <v>91</v>
      </c>
      <c r="G189" s="85">
        <v>1750.5</v>
      </c>
      <c r="H189" s="85">
        <v>1750.5</v>
      </c>
      <c r="I189" s="1">
        <v>1750.5</v>
      </c>
      <c r="J189" s="1">
        <v>1750.5</v>
      </c>
    </row>
    <row r="190" spans="1:10" ht="51">
      <c r="A190" s="17" t="s">
        <v>385</v>
      </c>
      <c r="B190" s="4">
        <v>969</v>
      </c>
      <c r="C190" s="4" t="s">
        <v>27</v>
      </c>
      <c r="D190" s="4" t="s">
        <v>25</v>
      </c>
      <c r="E190" s="4" t="s">
        <v>272</v>
      </c>
      <c r="F190" s="4"/>
      <c r="G190" s="89">
        <f>G191</f>
        <v>26339.999999999996</v>
      </c>
      <c r="H190" s="89">
        <f>H191</f>
        <v>25197.3</v>
      </c>
    </row>
    <row r="191" spans="1:10">
      <c r="A191" s="14" t="s">
        <v>90</v>
      </c>
      <c r="B191" s="6">
        <v>969</v>
      </c>
      <c r="C191" s="6" t="s">
        <v>27</v>
      </c>
      <c r="D191" s="6" t="s">
        <v>25</v>
      </c>
      <c r="E191" s="6" t="s">
        <v>272</v>
      </c>
      <c r="F191" s="6" t="s">
        <v>91</v>
      </c>
      <c r="G191" s="85">
        <f>27585.6+278.6-1524.4+0.2</f>
        <v>26339.999999999996</v>
      </c>
      <c r="H191" s="85">
        <v>25197.3</v>
      </c>
      <c r="I191" s="1">
        <v>26061.4</v>
      </c>
      <c r="J191" s="1">
        <v>25197.3</v>
      </c>
    </row>
    <row r="192" spans="1:10" s="41" customFormat="1" ht="51">
      <c r="A192" s="31" t="s">
        <v>387</v>
      </c>
      <c r="B192" s="4" t="s">
        <v>117</v>
      </c>
      <c r="C192" s="4" t="s">
        <v>27</v>
      </c>
      <c r="D192" s="4" t="s">
        <v>25</v>
      </c>
      <c r="E192" s="4" t="s">
        <v>306</v>
      </c>
      <c r="F192" s="4"/>
      <c r="G192" s="89">
        <f>G193</f>
        <v>140557.1</v>
      </c>
      <c r="H192" s="89">
        <f>H193</f>
        <v>140557.1</v>
      </c>
    </row>
    <row r="193" spans="1:10" s="41" customFormat="1" ht="51">
      <c r="A193" s="26" t="s">
        <v>88</v>
      </c>
      <c r="B193" s="6">
        <v>969</v>
      </c>
      <c r="C193" s="6" t="s">
        <v>27</v>
      </c>
      <c r="D193" s="6" t="s">
        <v>25</v>
      </c>
      <c r="E193" s="6" t="s">
        <v>306</v>
      </c>
      <c r="F193" s="6" t="s">
        <v>94</v>
      </c>
      <c r="G193" s="85">
        <f>136340.4+4216.7</f>
        <v>140557.1</v>
      </c>
      <c r="H193" s="85">
        <f>136340.4+4216.7</f>
        <v>140557.1</v>
      </c>
      <c r="I193" s="41">
        <v>136340.4</v>
      </c>
      <c r="J193" s="41">
        <v>136340.4</v>
      </c>
    </row>
    <row r="194" spans="1:10" s="41" customFormat="1" ht="38.25">
      <c r="A194" s="17" t="s">
        <v>384</v>
      </c>
      <c r="B194" s="4" t="s">
        <v>117</v>
      </c>
      <c r="C194" s="4" t="s">
        <v>27</v>
      </c>
      <c r="D194" s="4" t="s">
        <v>25</v>
      </c>
      <c r="E194" s="4" t="s">
        <v>458</v>
      </c>
      <c r="F194" s="4"/>
      <c r="G194" s="89">
        <f>G195</f>
        <v>20385.5</v>
      </c>
      <c r="H194" s="89">
        <f>H195</f>
        <v>20385.5</v>
      </c>
    </row>
    <row r="195" spans="1:10" s="41" customFormat="1">
      <c r="A195" s="14" t="s">
        <v>90</v>
      </c>
      <c r="B195" s="6" t="s">
        <v>117</v>
      </c>
      <c r="C195" s="6" t="s">
        <v>27</v>
      </c>
      <c r="D195" s="6" t="s">
        <v>25</v>
      </c>
      <c r="E195" s="6" t="s">
        <v>458</v>
      </c>
      <c r="F195" s="6" t="s">
        <v>91</v>
      </c>
      <c r="G195" s="85">
        <f>10804.3+9581.2</f>
        <v>20385.5</v>
      </c>
      <c r="H195" s="85">
        <f>10804.3+9581.2</f>
        <v>20385.5</v>
      </c>
      <c r="I195" s="41">
        <v>10804.3</v>
      </c>
      <c r="J195" s="41">
        <v>10804.3</v>
      </c>
    </row>
    <row r="196" spans="1:10" s="41" customFormat="1" ht="102">
      <c r="A196" s="17" t="s">
        <v>418</v>
      </c>
      <c r="B196" s="4" t="s">
        <v>117</v>
      </c>
      <c r="C196" s="4" t="s">
        <v>27</v>
      </c>
      <c r="D196" s="4" t="s">
        <v>25</v>
      </c>
      <c r="E196" s="4" t="s">
        <v>419</v>
      </c>
      <c r="F196" s="4"/>
      <c r="G196" s="89">
        <f>G197</f>
        <v>1570.6999999999998</v>
      </c>
      <c r="H196" s="89">
        <f>H197</f>
        <v>1570.6999999999998</v>
      </c>
    </row>
    <row r="197" spans="1:10" s="41" customFormat="1">
      <c r="A197" s="14" t="s">
        <v>90</v>
      </c>
      <c r="B197" s="6" t="s">
        <v>117</v>
      </c>
      <c r="C197" s="6" t="s">
        <v>27</v>
      </c>
      <c r="D197" s="6" t="s">
        <v>25</v>
      </c>
      <c r="E197" s="6" t="s">
        <v>419</v>
      </c>
      <c r="F197" s="6" t="s">
        <v>91</v>
      </c>
      <c r="G197" s="85">
        <f>1523.6+47.1</f>
        <v>1570.6999999999998</v>
      </c>
      <c r="H197" s="85">
        <f>1523.6+47.1</f>
        <v>1570.6999999999998</v>
      </c>
      <c r="I197" s="41">
        <v>1523.6</v>
      </c>
      <c r="J197" s="41">
        <v>1523.6</v>
      </c>
    </row>
    <row r="198" spans="1:10" s="41" customFormat="1" ht="51">
      <c r="A198" s="104" t="s">
        <v>400</v>
      </c>
      <c r="B198" s="4" t="s">
        <v>117</v>
      </c>
      <c r="C198" s="100" t="s">
        <v>27</v>
      </c>
      <c r="D198" s="100" t="s">
        <v>25</v>
      </c>
      <c r="E198" s="100" t="s">
        <v>401</v>
      </c>
      <c r="F198" s="100"/>
      <c r="G198" s="89">
        <f>G199</f>
        <v>4462.3</v>
      </c>
      <c r="H198" s="89">
        <f>H199</f>
        <v>4543</v>
      </c>
    </row>
    <row r="199" spans="1:10" s="41" customFormat="1" ht="51">
      <c r="A199" s="26" t="s">
        <v>88</v>
      </c>
      <c r="B199" s="6" t="s">
        <v>117</v>
      </c>
      <c r="C199" s="94" t="s">
        <v>27</v>
      </c>
      <c r="D199" s="94" t="s">
        <v>25</v>
      </c>
      <c r="E199" s="94" t="s">
        <v>401</v>
      </c>
      <c r="F199" s="94" t="s">
        <v>91</v>
      </c>
      <c r="G199" s="85">
        <v>4462.3</v>
      </c>
      <c r="H199" s="85">
        <v>4543</v>
      </c>
      <c r="I199" s="41">
        <v>4462.3</v>
      </c>
      <c r="J199" s="41">
        <v>4543</v>
      </c>
    </row>
    <row r="200" spans="1:10" s="41" customFormat="1" ht="38.25">
      <c r="A200" s="25" t="s">
        <v>338</v>
      </c>
      <c r="B200" s="4">
        <v>969</v>
      </c>
      <c r="C200" s="4" t="s">
        <v>27</v>
      </c>
      <c r="D200" s="4" t="s">
        <v>25</v>
      </c>
      <c r="E200" s="4" t="s">
        <v>339</v>
      </c>
      <c r="F200" s="4"/>
      <c r="G200" s="5">
        <f>G201</f>
        <v>374.4</v>
      </c>
      <c r="H200" s="5">
        <f>H201</f>
        <v>374.4</v>
      </c>
    </row>
    <row r="201" spans="1:10" s="41" customFormat="1" ht="25.5">
      <c r="A201" s="25" t="s">
        <v>340</v>
      </c>
      <c r="B201" s="4">
        <v>969</v>
      </c>
      <c r="C201" s="4" t="s">
        <v>27</v>
      </c>
      <c r="D201" s="4" t="s">
        <v>25</v>
      </c>
      <c r="E201" s="4" t="s">
        <v>341</v>
      </c>
      <c r="F201" s="4"/>
      <c r="G201" s="5">
        <f>G202</f>
        <v>374.4</v>
      </c>
      <c r="H201" s="5">
        <f>H202</f>
        <v>374.4</v>
      </c>
    </row>
    <row r="202" spans="1:10" s="41" customFormat="1">
      <c r="A202" s="36" t="s">
        <v>90</v>
      </c>
      <c r="B202" s="6">
        <v>969</v>
      </c>
      <c r="C202" s="6" t="s">
        <v>27</v>
      </c>
      <c r="D202" s="6" t="s">
        <v>25</v>
      </c>
      <c r="E202" s="6" t="s">
        <v>341</v>
      </c>
      <c r="F202" s="6" t="s">
        <v>91</v>
      </c>
      <c r="G202" s="20">
        <v>374.4</v>
      </c>
      <c r="H202" s="20">
        <v>374.4</v>
      </c>
    </row>
    <row r="203" spans="1:10" s="41" customFormat="1" ht="25.5">
      <c r="A203" s="30" t="s">
        <v>334</v>
      </c>
      <c r="B203" s="6" t="s">
        <v>117</v>
      </c>
      <c r="C203" s="4" t="s">
        <v>27</v>
      </c>
      <c r="D203" s="4" t="s">
        <v>25</v>
      </c>
      <c r="E203" s="4" t="s">
        <v>335</v>
      </c>
      <c r="F203" s="6"/>
      <c r="G203" s="5">
        <f>G204</f>
        <v>8757.7999999999993</v>
      </c>
      <c r="H203" s="5">
        <f>H204</f>
        <v>8757.7999999999993</v>
      </c>
    </row>
    <row r="204" spans="1:10" s="41" customFormat="1" ht="63.75">
      <c r="A204" s="31" t="s">
        <v>131</v>
      </c>
      <c r="B204" s="4" t="s">
        <v>117</v>
      </c>
      <c r="C204" s="4" t="s">
        <v>27</v>
      </c>
      <c r="D204" s="4" t="s">
        <v>25</v>
      </c>
      <c r="E204" s="4" t="s">
        <v>336</v>
      </c>
      <c r="F204" s="4"/>
      <c r="G204" s="89">
        <f>G205</f>
        <v>8757.7999999999993</v>
      </c>
      <c r="H204" s="89">
        <f>H205</f>
        <v>8757.7999999999993</v>
      </c>
    </row>
    <row r="205" spans="1:10" s="41" customFormat="1">
      <c r="A205" s="14" t="s">
        <v>90</v>
      </c>
      <c r="B205" s="6" t="s">
        <v>117</v>
      </c>
      <c r="C205" s="6" t="s">
        <v>27</v>
      </c>
      <c r="D205" s="6" t="s">
        <v>25</v>
      </c>
      <c r="E205" s="6" t="s">
        <v>336</v>
      </c>
      <c r="F205" s="6" t="s">
        <v>91</v>
      </c>
      <c r="G205" s="85">
        <f>8320+437.8</f>
        <v>8757.7999999999993</v>
      </c>
      <c r="H205" s="85">
        <f>8320+437.8</f>
        <v>8757.7999999999993</v>
      </c>
      <c r="I205" s="41">
        <v>8320</v>
      </c>
      <c r="J205" s="41">
        <v>8320</v>
      </c>
    </row>
    <row r="206" spans="1:10" s="41" customFormat="1">
      <c r="A206" s="24" t="s">
        <v>245</v>
      </c>
      <c r="B206" s="8">
        <v>969</v>
      </c>
      <c r="C206" s="8" t="s">
        <v>27</v>
      </c>
      <c r="D206" s="8" t="s">
        <v>38</v>
      </c>
      <c r="E206" s="8"/>
      <c r="F206" s="8"/>
      <c r="G206" s="53">
        <f>G208</f>
        <v>61771.799999999996</v>
      </c>
      <c r="H206" s="53">
        <f>H208</f>
        <v>61771.799999999996</v>
      </c>
    </row>
    <row r="207" spans="1:10" s="41" customFormat="1" ht="25.5">
      <c r="A207" s="35" t="s">
        <v>443</v>
      </c>
      <c r="B207" s="10" t="s">
        <v>117</v>
      </c>
      <c r="C207" s="10" t="s">
        <v>27</v>
      </c>
      <c r="D207" s="10" t="s">
        <v>38</v>
      </c>
      <c r="E207" s="10" t="s">
        <v>197</v>
      </c>
      <c r="F207" s="10"/>
      <c r="G207" s="54">
        <f>G208</f>
        <v>61771.799999999996</v>
      </c>
      <c r="H207" s="54">
        <f>H208</f>
        <v>61771.799999999996</v>
      </c>
    </row>
    <row r="208" spans="1:10" s="41" customFormat="1" ht="27">
      <c r="A208" s="32" t="s">
        <v>313</v>
      </c>
      <c r="B208" s="7">
        <v>969</v>
      </c>
      <c r="C208" s="7" t="s">
        <v>27</v>
      </c>
      <c r="D208" s="7" t="s">
        <v>38</v>
      </c>
      <c r="E208" s="7" t="s">
        <v>214</v>
      </c>
      <c r="F208" s="7"/>
      <c r="G208" s="44">
        <f>G209</f>
        <v>61771.799999999996</v>
      </c>
      <c r="H208" s="44">
        <f>H209</f>
        <v>61771.799999999996</v>
      </c>
    </row>
    <row r="209" spans="1:10" s="41" customFormat="1" ht="38.25">
      <c r="A209" s="31" t="s">
        <v>205</v>
      </c>
      <c r="B209" s="4" t="s">
        <v>117</v>
      </c>
      <c r="C209" s="4" t="s">
        <v>27</v>
      </c>
      <c r="D209" s="4" t="s">
        <v>38</v>
      </c>
      <c r="E209" s="4" t="s">
        <v>215</v>
      </c>
      <c r="F209" s="4"/>
      <c r="G209" s="5">
        <f>G210+G213</f>
        <v>61771.799999999996</v>
      </c>
      <c r="H209" s="5">
        <f>H210+H213</f>
        <v>61771.799999999996</v>
      </c>
    </row>
    <row r="210" spans="1:10" s="41" customFormat="1" ht="38.25">
      <c r="A210" s="31" t="s">
        <v>216</v>
      </c>
      <c r="B210" s="4" t="s">
        <v>117</v>
      </c>
      <c r="C210" s="4" t="s">
        <v>27</v>
      </c>
      <c r="D210" s="4" t="s">
        <v>38</v>
      </c>
      <c r="E210" s="4" t="s">
        <v>217</v>
      </c>
      <c r="F210" s="4"/>
      <c r="G210" s="5">
        <f>G211+G212</f>
        <v>31511.1</v>
      </c>
      <c r="H210" s="5">
        <f>H211+H212</f>
        <v>31511.1</v>
      </c>
    </row>
    <row r="211" spans="1:10" s="41" customFormat="1" ht="51">
      <c r="A211" s="26" t="s">
        <v>88</v>
      </c>
      <c r="B211" s="6">
        <v>969</v>
      </c>
      <c r="C211" s="6" t="s">
        <v>27</v>
      </c>
      <c r="D211" s="6" t="s">
        <v>38</v>
      </c>
      <c r="E211" s="6" t="s">
        <v>217</v>
      </c>
      <c r="F211" s="6" t="s">
        <v>94</v>
      </c>
      <c r="G211" s="20">
        <f>8525.8+179.8+3000</f>
        <v>11705.599999999999</v>
      </c>
      <c r="H211" s="20">
        <f>8525.8+179.8+3000</f>
        <v>11705.599999999999</v>
      </c>
    </row>
    <row r="212" spans="1:10" s="41" customFormat="1" ht="51">
      <c r="A212" s="14" t="s">
        <v>89</v>
      </c>
      <c r="B212" s="6">
        <v>969</v>
      </c>
      <c r="C212" s="6" t="s">
        <v>27</v>
      </c>
      <c r="D212" s="6" t="s">
        <v>38</v>
      </c>
      <c r="E212" s="6" t="s">
        <v>217</v>
      </c>
      <c r="F212" s="6" t="s">
        <v>93</v>
      </c>
      <c r="G212" s="20">
        <f>15665+340.5+3800</f>
        <v>19805.5</v>
      </c>
      <c r="H212" s="20">
        <f>15665+340.5+3800</f>
        <v>19805.5</v>
      </c>
    </row>
    <row r="213" spans="1:10" s="41" customFormat="1" ht="38.25">
      <c r="A213" s="17" t="s">
        <v>126</v>
      </c>
      <c r="B213" s="4">
        <v>969</v>
      </c>
      <c r="C213" s="4" t="s">
        <v>27</v>
      </c>
      <c r="D213" s="4" t="s">
        <v>38</v>
      </c>
      <c r="E213" s="4" t="s">
        <v>291</v>
      </c>
      <c r="F213" s="4"/>
      <c r="G213" s="89">
        <f>G214+G215</f>
        <v>30260.699999999997</v>
      </c>
      <c r="H213" s="89">
        <f>H214+H215</f>
        <v>30260.699999999997</v>
      </c>
    </row>
    <row r="214" spans="1:10" s="41" customFormat="1" ht="51">
      <c r="A214" s="26" t="s">
        <v>88</v>
      </c>
      <c r="B214" s="6">
        <v>969</v>
      </c>
      <c r="C214" s="6" t="s">
        <v>27</v>
      </c>
      <c r="D214" s="6" t="s">
        <v>38</v>
      </c>
      <c r="E214" s="6" t="s">
        <v>291</v>
      </c>
      <c r="F214" s="6" t="s">
        <v>94</v>
      </c>
      <c r="G214" s="85">
        <f>7262.6</f>
        <v>7262.6</v>
      </c>
      <c r="H214" s="85">
        <f>7262.6</f>
        <v>7262.6</v>
      </c>
      <c r="I214" s="41">
        <v>30260.7</v>
      </c>
      <c r="J214" s="41">
        <v>30260.7</v>
      </c>
    </row>
    <row r="215" spans="1:10" s="41" customFormat="1" ht="51">
      <c r="A215" s="14" t="s">
        <v>89</v>
      </c>
      <c r="B215" s="6">
        <v>969</v>
      </c>
      <c r="C215" s="6" t="s">
        <v>27</v>
      </c>
      <c r="D215" s="6" t="s">
        <v>38</v>
      </c>
      <c r="E215" s="6" t="s">
        <v>291</v>
      </c>
      <c r="F215" s="6" t="s">
        <v>93</v>
      </c>
      <c r="G215" s="85">
        <v>22998.1</v>
      </c>
      <c r="H215" s="85">
        <v>22998.1</v>
      </c>
    </row>
    <row r="216" spans="1:10" s="41" customFormat="1" ht="25.5">
      <c r="A216" s="24" t="s">
        <v>13</v>
      </c>
      <c r="B216" s="78">
        <v>969</v>
      </c>
      <c r="C216" s="78" t="s">
        <v>27</v>
      </c>
      <c r="D216" s="78" t="s">
        <v>28</v>
      </c>
      <c r="E216" s="24"/>
      <c r="F216" s="24"/>
      <c r="G216" s="53">
        <f>G217</f>
        <v>407.2</v>
      </c>
      <c r="H216" s="53">
        <f>H217</f>
        <v>407.2</v>
      </c>
    </row>
    <row r="217" spans="1:10" s="41" customFormat="1" ht="25.5">
      <c r="A217" s="35" t="s">
        <v>443</v>
      </c>
      <c r="B217" s="10" t="s">
        <v>117</v>
      </c>
      <c r="C217" s="10" t="s">
        <v>27</v>
      </c>
      <c r="D217" s="10" t="s">
        <v>28</v>
      </c>
      <c r="E217" s="10" t="s">
        <v>197</v>
      </c>
      <c r="F217" s="10"/>
      <c r="G217" s="54">
        <f>G218</f>
        <v>407.2</v>
      </c>
      <c r="H217" s="54">
        <f>H218</f>
        <v>407.2</v>
      </c>
    </row>
    <row r="218" spans="1:10" s="41" customFormat="1" ht="27">
      <c r="A218" s="32" t="s">
        <v>312</v>
      </c>
      <c r="B218" s="7" t="s">
        <v>117</v>
      </c>
      <c r="C218" s="7" t="s">
        <v>27</v>
      </c>
      <c r="D218" s="7" t="s">
        <v>28</v>
      </c>
      <c r="E218" s="7" t="s">
        <v>204</v>
      </c>
      <c r="F218" s="7"/>
      <c r="G218" s="44">
        <f>G220</f>
        <v>407.2</v>
      </c>
      <c r="H218" s="44">
        <f>H220</f>
        <v>407.2</v>
      </c>
    </row>
    <row r="219" spans="1:10" s="41" customFormat="1" ht="25.5">
      <c r="A219" s="31" t="s">
        <v>210</v>
      </c>
      <c r="B219" s="4" t="s">
        <v>117</v>
      </c>
      <c r="C219" s="4" t="s">
        <v>27</v>
      </c>
      <c r="D219" s="4" t="s">
        <v>28</v>
      </c>
      <c r="E219" s="4" t="s">
        <v>206</v>
      </c>
      <c r="F219" s="4"/>
      <c r="G219" s="5">
        <f>G220</f>
        <v>407.2</v>
      </c>
      <c r="H219" s="5">
        <f>H220</f>
        <v>407.2</v>
      </c>
    </row>
    <row r="220" spans="1:10" s="41" customFormat="1" ht="38.25">
      <c r="A220" s="25" t="s">
        <v>386</v>
      </c>
      <c r="B220" s="4" t="s">
        <v>117</v>
      </c>
      <c r="C220" s="4" t="s">
        <v>27</v>
      </c>
      <c r="D220" s="4" t="s">
        <v>28</v>
      </c>
      <c r="E220" s="4" t="s">
        <v>14</v>
      </c>
      <c r="F220" s="4"/>
      <c r="G220" s="89">
        <f>G221</f>
        <v>407.2</v>
      </c>
      <c r="H220" s="89">
        <f>H221</f>
        <v>407.2</v>
      </c>
    </row>
    <row r="221" spans="1:10" s="41" customFormat="1">
      <c r="A221" s="26" t="s">
        <v>90</v>
      </c>
      <c r="B221" s="6" t="s">
        <v>117</v>
      </c>
      <c r="C221" s="6" t="s">
        <v>27</v>
      </c>
      <c r="D221" s="6" t="s">
        <v>28</v>
      </c>
      <c r="E221" s="6" t="s">
        <v>14</v>
      </c>
      <c r="F221" s="6" t="s">
        <v>91</v>
      </c>
      <c r="G221" s="85">
        <f>395+12.2</f>
        <v>407.2</v>
      </c>
      <c r="H221" s="85">
        <f>395+12.2</f>
        <v>407.2</v>
      </c>
      <c r="I221" s="41">
        <v>395</v>
      </c>
      <c r="J221" s="41">
        <v>395</v>
      </c>
    </row>
    <row r="222" spans="1:10" s="41" customFormat="1">
      <c r="A222" s="24" t="s">
        <v>42</v>
      </c>
      <c r="B222" s="8">
        <v>969</v>
      </c>
      <c r="C222" s="8" t="s">
        <v>27</v>
      </c>
      <c r="D222" s="8" t="s">
        <v>27</v>
      </c>
      <c r="E222" s="8"/>
      <c r="F222" s="8"/>
      <c r="G222" s="53">
        <f t="shared" ref="G222:H224" si="16">G223</f>
        <v>13286.4</v>
      </c>
      <c r="H222" s="53">
        <f t="shared" si="16"/>
        <v>13286.4</v>
      </c>
    </row>
    <row r="223" spans="1:10" s="41" customFormat="1" ht="25.5">
      <c r="A223" s="35" t="s">
        <v>443</v>
      </c>
      <c r="B223" s="10" t="s">
        <v>117</v>
      </c>
      <c r="C223" s="10" t="s">
        <v>27</v>
      </c>
      <c r="D223" s="10" t="s">
        <v>27</v>
      </c>
      <c r="E223" s="10" t="s">
        <v>218</v>
      </c>
      <c r="F223" s="10"/>
      <c r="G223" s="54">
        <f t="shared" si="16"/>
        <v>13286.4</v>
      </c>
      <c r="H223" s="54">
        <f t="shared" si="16"/>
        <v>13286.4</v>
      </c>
    </row>
    <row r="224" spans="1:10" s="41" customFormat="1" ht="13.5">
      <c r="A224" s="32" t="s">
        <v>314</v>
      </c>
      <c r="B224" s="7">
        <v>969</v>
      </c>
      <c r="C224" s="7" t="s">
        <v>27</v>
      </c>
      <c r="D224" s="7" t="s">
        <v>27</v>
      </c>
      <c r="E224" s="7" t="s">
        <v>219</v>
      </c>
      <c r="F224" s="7"/>
      <c r="G224" s="44">
        <f t="shared" si="16"/>
        <v>13286.4</v>
      </c>
      <c r="H224" s="44">
        <f t="shared" si="16"/>
        <v>13286.4</v>
      </c>
    </row>
    <row r="225" spans="1:10" s="41" customFormat="1" ht="25.5">
      <c r="A225" s="31" t="s">
        <v>220</v>
      </c>
      <c r="B225" s="4" t="s">
        <v>117</v>
      </c>
      <c r="C225" s="4" t="s">
        <v>27</v>
      </c>
      <c r="D225" s="4" t="s">
        <v>27</v>
      </c>
      <c r="E225" s="4" t="s">
        <v>221</v>
      </c>
      <c r="F225" s="10"/>
      <c r="G225" s="5">
        <f>G226+G228+G230</f>
        <v>13286.4</v>
      </c>
      <c r="H225" s="5">
        <f>H226+H228+H230</f>
        <v>13286.4</v>
      </c>
    </row>
    <row r="226" spans="1:10" s="41" customFormat="1" ht="114.75">
      <c r="A226" s="25" t="s">
        <v>391</v>
      </c>
      <c r="B226" s="4" t="s">
        <v>117</v>
      </c>
      <c r="C226" s="4" t="s">
        <v>27</v>
      </c>
      <c r="D226" s="4" t="s">
        <v>27</v>
      </c>
      <c r="E226" s="4" t="s">
        <v>222</v>
      </c>
      <c r="F226" s="4"/>
      <c r="G226" s="89">
        <f>G227</f>
        <v>6191</v>
      </c>
      <c r="H226" s="89">
        <f>H227</f>
        <v>6191</v>
      </c>
    </row>
    <row r="227" spans="1:10" s="41" customFormat="1" ht="25.5">
      <c r="A227" s="14" t="s">
        <v>342</v>
      </c>
      <c r="B227" s="6">
        <v>969</v>
      </c>
      <c r="C227" s="6" t="s">
        <v>27</v>
      </c>
      <c r="D227" s="6" t="s">
        <v>27</v>
      </c>
      <c r="E227" s="6" t="s">
        <v>222</v>
      </c>
      <c r="F227" s="6" t="s">
        <v>343</v>
      </c>
      <c r="G227" s="85">
        <v>6191</v>
      </c>
      <c r="H227" s="85">
        <v>6191</v>
      </c>
      <c r="I227" s="41">
        <v>6191</v>
      </c>
      <c r="J227" s="41">
        <v>6191</v>
      </c>
    </row>
    <row r="228" spans="1:10" s="41" customFormat="1" ht="25.5">
      <c r="A228" s="17" t="s">
        <v>246</v>
      </c>
      <c r="B228" s="4">
        <v>969</v>
      </c>
      <c r="C228" s="4" t="s">
        <v>27</v>
      </c>
      <c r="D228" s="4" t="s">
        <v>27</v>
      </c>
      <c r="E228" s="4" t="s">
        <v>223</v>
      </c>
      <c r="F228" s="4"/>
      <c r="G228" s="89">
        <f>G229</f>
        <v>7002.5</v>
      </c>
      <c r="H228" s="89">
        <f>H229</f>
        <v>7002.5</v>
      </c>
    </row>
    <row r="229" spans="1:10" s="41" customFormat="1" ht="25.5">
      <c r="A229" s="14" t="s">
        <v>342</v>
      </c>
      <c r="B229" s="6">
        <v>969</v>
      </c>
      <c r="C229" s="6" t="s">
        <v>27</v>
      </c>
      <c r="D229" s="6" t="s">
        <v>27</v>
      </c>
      <c r="E229" s="6" t="s">
        <v>223</v>
      </c>
      <c r="F229" s="6" t="s">
        <v>343</v>
      </c>
      <c r="G229" s="85">
        <v>7002.5</v>
      </c>
      <c r="H229" s="85">
        <v>7002.5</v>
      </c>
      <c r="I229" s="41">
        <v>7002.5</v>
      </c>
      <c r="J229" s="41">
        <v>7002.5</v>
      </c>
    </row>
    <row r="230" spans="1:10" s="41" customFormat="1" ht="38.25">
      <c r="A230" s="25" t="s">
        <v>247</v>
      </c>
      <c r="B230" s="4">
        <v>969</v>
      </c>
      <c r="C230" s="4" t="s">
        <v>27</v>
      </c>
      <c r="D230" s="4" t="s">
        <v>27</v>
      </c>
      <c r="E230" s="4" t="s">
        <v>250</v>
      </c>
      <c r="F230" s="4"/>
      <c r="G230" s="89">
        <f>G231+G232</f>
        <v>92.899999999999991</v>
      </c>
      <c r="H230" s="89">
        <f>H231+H232</f>
        <v>92.899999999999991</v>
      </c>
      <c r="I230" s="41">
        <v>92.9</v>
      </c>
      <c r="J230" s="41">
        <v>92.9</v>
      </c>
    </row>
    <row r="231" spans="1:10" s="41" customFormat="1">
      <c r="A231" s="38" t="s">
        <v>241</v>
      </c>
      <c r="B231" s="6">
        <v>969</v>
      </c>
      <c r="C231" s="6" t="s">
        <v>27</v>
      </c>
      <c r="D231" s="6" t="s">
        <v>27</v>
      </c>
      <c r="E231" s="6" t="s">
        <v>250</v>
      </c>
      <c r="F231" s="6" t="s">
        <v>107</v>
      </c>
      <c r="G231" s="85">
        <v>71.349999999999994</v>
      </c>
      <c r="H231" s="85">
        <v>71.349999999999994</v>
      </c>
    </row>
    <row r="232" spans="1:10" s="41" customFormat="1" ht="38.25">
      <c r="A232" s="14" t="s">
        <v>238</v>
      </c>
      <c r="B232" s="6" t="s">
        <v>117</v>
      </c>
      <c r="C232" s="6" t="s">
        <v>27</v>
      </c>
      <c r="D232" s="6" t="s">
        <v>27</v>
      </c>
      <c r="E232" s="6" t="s">
        <v>250</v>
      </c>
      <c r="F232" s="6" t="s">
        <v>158</v>
      </c>
      <c r="G232" s="85">
        <v>21.55</v>
      </c>
      <c r="H232" s="85">
        <v>21.55</v>
      </c>
    </row>
    <row r="233" spans="1:10" s="41" customFormat="1">
      <c r="A233" s="28" t="s">
        <v>19</v>
      </c>
      <c r="B233" s="8">
        <v>969</v>
      </c>
      <c r="C233" s="8" t="s">
        <v>27</v>
      </c>
      <c r="D233" s="8" t="s">
        <v>29</v>
      </c>
      <c r="E233" s="8"/>
      <c r="F233" s="8"/>
      <c r="G233" s="53">
        <f>G234</f>
        <v>17340.500500000002</v>
      </c>
      <c r="H233" s="53">
        <f>H234</f>
        <v>17340.499900000003</v>
      </c>
    </row>
    <row r="234" spans="1:10" s="41" customFormat="1" ht="25.5">
      <c r="A234" s="35" t="s">
        <v>443</v>
      </c>
      <c r="B234" s="10" t="s">
        <v>117</v>
      </c>
      <c r="C234" s="10" t="s">
        <v>27</v>
      </c>
      <c r="D234" s="10" t="s">
        <v>29</v>
      </c>
      <c r="E234" s="10" t="s">
        <v>197</v>
      </c>
      <c r="F234" s="10"/>
      <c r="G234" s="54">
        <f>G240+G235+G255</f>
        <v>17340.500500000002</v>
      </c>
      <c r="H234" s="54">
        <f>H240+H235+H255</f>
        <v>17340.499900000003</v>
      </c>
    </row>
    <row r="235" spans="1:10" s="41" customFormat="1" ht="13.5">
      <c r="A235" s="32" t="s">
        <v>314</v>
      </c>
      <c r="B235" s="7">
        <v>969</v>
      </c>
      <c r="C235" s="7" t="s">
        <v>27</v>
      </c>
      <c r="D235" s="7" t="s">
        <v>29</v>
      </c>
      <c r="E235" s="7" t="s">
        <v>219</v>
      </c>
      <c r="F235" s="7"/>
      <c r="G235" s="44">
        <f>G236</f>
        <v>105</v>
      </c>
      <c r="H235" s="44">
        <f>H236</f>
        <v>105</v>
      </c>
    </row>
    <row r="236" spans="1:10" s="41" customFormat="1" ht="25.5">
      <c r="A236" s="31" t="s">
        <v>220</v>
      </c>
      <c r="B236" s="4" t="s">
        <v>117</v>
      </c>
      <c r="C236" s="4" t="s">
        <v>27</v>
      </c>
      <c r="D236" s="4" t="s">
        <v>29</v>
      </c>
      <c r="E236" s="4" t="s">
        <v>221</v>
      </c>
      <c r="F236" s="10"/>
      <c r="G236" s="5">
        <f>G237</f>
        <v>105</v>
      </c>
      <c r="H236" s="5">
        <f>H237</f>
        <v>105</v>
      </c>
    </row>
    <row r="237" spans="1:10" s="41" customFormat="1" ht="38.25">
      <c r="A237" s="17" t="s">
        <v>243</v>
      </c>
      <c r="B237" s="4">
        <v>969</v>
      </c>
      <c r="C237" s="4" t="s">
        <v>27</v>
      </c>
      <c r="D237" s="4" t="s">
        <v>29</v>
      </c>
      <c r="E237" s="4" t="s">
        <v>242</v>
      </c>
      <c r="F237" s="4"/>
      <c r="G237" s="89">
        <f>G238+G239</f>
        <v>105</v>
      </c>
      <c r="H237" s="89">
        <f>H238+H239</f>
        <v>105</v>
      </c>
      <c r="I237" s="41">
        <v>105</v>
      </c>
      <c r="J237" s="41">
        <v>105</v>
      </c>
    </row>
    <row r="238" spans="1:10" s="41" customFormat="1">
      <c r="A238" s="38" t="s">
        <v>241</v>
      </c>
      <c r="B238" s="6">
        <v>969</v>
      </c>
      <c r="C238" s="6" t="s">
        <v>27</v>
      </c>
      <c r="D238" s="6" t="s">
        <v>29</v>
      </c>
      <c r="E238" s="6" t="s">
        <v>242</v>
      </c>
      <c r="F238" s="6" t="s">
        <v>107</v>
      </c>
      <c r="G238" s="85">
        <v>80.644999999999996</v>
      </c>
      <c r="H238" s="85">
        <v>80.644999999999996</v>
      </c>
    </row>
    <row r="239" spans="1:10" s="41" customFormat="1" ht="38.25">
      <c r="A239" s="14" t="s">
        <v>238</v>
      </c>
      <c r="B239" s="6">
        <v>969</v>
      </c>
      <c r="C239" s="6" t="s">
        <v>27</v>
      </c>
      <c r="D239" s="6" t="s">
        <v>29</v>
      </c>
      <c r="E239" s="6" t="s">
        <v>242</v>
      </c>
      <c r="F239" s="6" t="s">
        <v>158</v>
      </c>
      <c r="G239" s="85">
        <v>24.355</v>
      </c>
      <c r="H239" s="85">
        <v>24.355</v>
      </c>
    </row>
    <row r="240" spans="1:10" s="41" customFormat="1" ht="27">
      <c r="A240" s="32" t="s">
        <v>315</v>
      </c>
      <c r="B240" s="10" t="s">
        <v>117</v>
      </c>
      <c r="C240" s="10" t="s">
        <v>27</v>
      </c>
      <c r="D240" s="10" t="s">
        <v>29</v>
      </c>
      <c r="E240" s="10" t="s">
        <v>224</v>
      </c>
      <c r="F240" s="10"/>
      <c r="G240" s="120">
        <f>G241</f>
        <v>16937.500500000002</v>
      </c>
      <c r="H240" s="120">
        <f>H241</f>
        <v>16937.499900000003</v>
      </c>
    </row>
    <row r="241" spans="1:10" s="41" customFormat="1" ht="25.5">
      <c r="A241" s="31" t="s">
        <v>225</v>
      </c>
      <c r="B241" s="4" t="s">
        <v>117</v>
      </c>
      <c r="C241" s="4" t="s">
        <v>27</v>
      </c>
      <c r="D241" s="4" t="s">
        <v>29</v>
      </c>
      <c r="E241" s="4" t="s">
        <v>226</v>
      </c>
      <c r="F241" s="4"/>
      <c r="G241" s="89">
        <f>G244+G247+G242</f>
        <v>16937.500500000002</v>
      </c>
      <c r="H241" s="89">
        <f>H244+H247+H242</f>
        <v>16937.499900000003</v>
      </c>
    </row>
    <row r="242" spans="1:10" s="41" customFormat="1" ht="89.25">
      <c r="A242" s="25" t="s">
        <v>390</v>
      </c>
      <c r="B242" s="4">
        <v>969</v>
      </c>
      <c r="C242" s="4" t="s">
        <v>27</v>
      </c>
      <c r="D242" s="4" t="s">
        <v>29</v>
      </c>
      <c r="E242" s="4" t="s">
        <v>229</v>
      </c>
      <c r="F242" s="4"/>
      <c r="G242" s="89">
        <f>G243</f>
        <v>83.5</v>
      </c>
      <c r="H242" s="89">
        <f>H243</f>
        <v>83.5</v>
      </c>
    </row>
    <row r="243" spans="1:10" s="41" customFormat="1" ht="25.5">
      <c r="A243" s="14" t="s">
        <v>76</v>
      </c>
      <c r="B243" s="6">
        <v>969</v>
      </c>
      <c r="C243" s="6" t="s">
        <v>27</v>
      </c>
      <c r="D243" s="6" t="s">
        <v>29</v>
      </c>
      <c r="E243" s="6" t="s">
        <v>229</v>
      </c>
      <c r="F243" s="6" t="s">
        <v>77</v>
      </c>
      <c r="G243" s="85">
        <v>83.5</v>
      </c>
      <c r="H243" s="85">
        <v>83.5</v>
      </c>
      <c r="I243" s="41">
        <v>83.5</v>
      </c>
      <c r="J243" s="41">
        <v>83.5</v>
      </c>
    </row>
    <row r="244" spans="1:10" s="41" customFormat="1" ht="25.5">
      <c r="A244" s="31" t="s">
        <v>104</v>
      </c>
      <c r="B244" s="4" t="s">
        <v>117</v>
      </c>
      <c r="C244" s="4" t="s">
        <v>27</v>
      </c>
      <c r="D244" s="4" t="s">
        <v>29</v>
      </c>
      <c r="E244" s="4" t="s">
        <v>240</v>
      </c>
      <c r="F244" s="4"/>
      <c r="G244" s="5">
        <f>G245+G246</f>
        <v>1434</v>
      </c>
      <c r="H244" s="5">
        <f>H245+H246</f>
        <v>1434</v>
      </c>
    </row>
    <row r="245" spans="1:10" s="41" customFormat="1" ht="25.5">
      <c r="A245" s="38" t="s">
        <v>140</v>
      </c>
      <c r="B245" s="6" t="s">
        <v>117</v>
      </c>
      <c r="C245" s="6" t="s">
        <v>27</v>
      </c>
      <c r="D245" s="6" t="s">
        <v>29</v>
      </c>
      <c r="E245" s="6" t="s">
        <v>240</v>
      </c>
      <c r="F245" s="6" t="s">
        <v>73</v>
      </c>
      <c r="G245" s="20">
        <v>1101.4000000000001</v>
      </c>
      <c r="H245" s="20">
        <v>1101.4000000000001</v>
      </c>
    </row>
    <row r="246" spans="1:10" ht="38.25">
      <c r="A246" s="14" t="s">
        <v>141</v>
      </c>
      <c r="B246" s="6" t="s">
        <v>117</v>
      </c>
      <c r="C246" s="6" t="s">
        <v>27</v>
      </c>
      <c r="D246" s="6" t="s">
        <v>29</v>
      </c>
      <c r="E246" s="6" t="s">
        <v>240</v>
      </c>
      <c r="F246" s="6" t="s">
        <v>134</v>
      </c>
      <c r="G246" s="20">
        <v>332.6</v>
      </c>
      <c r="H246" s="20">
        <v>332.6</v>
      </c>
    </row>
    <row r="247" spans="1:10" ht="51">
      <c r="A247" s="25" t="s">
        <v>227</v>
      </c>
      <c r="B247" s="4">
        <v>969</v>
      </c>
      <c r="C247" s="4" t="s">
        <v>27</v>
      </c>
      <c r="D247" s="4" t="s">
        <v>29</v>
      </c>
      <c r="E247" s="4" t="s">
        <v>228</v>
      </c>
      <c r="F247" s="4"/>
      <c r="G247" s="5">
        <f>SUM(G248:G254)</f>
        <v>15420.0005</v>
      </c>
      <c r="H247" s="5">
        <f>SUM(H248:H254)</f>
        <v>15419.999900000001</v>
      </c>
    </row>
    <row r="248" spans="1:10">
      <c r="A248" s="38" t="s">
        <v>237</v>
      </c>
      <c r="B248" s="6">
        <v>969</v>
      </c>
      <c r="C248" s="6" t="s">
        <v>27</v>
      </c>
      <c r="D248" s="6" t="s">
        <v>29</v>
      </c>
      <c r="E248" s="6" t="s">
        <v>228</v>
      </c>
      <c r="F248" s="6" t="s">
        <v>107</v>
      </c>
      <c r="G248" s="20">
        <f>1969.3+1082.2+7700</f>
        <v>10751.5</v>
      </c>
      <c r="H248" s="20">
        <f>1969.3+1082.2+7700</f>
        <v>10751.5</v>
      </c>
    </row>
    <row r="249" spans="1:10" ht="38.25">
      <c r="A249" s="14" t="s">
        <v>238</v>
      </c>
      <c r="B249" s="6">
        <v>969</v>
      </c>
      <c r="C249" s="6" t="s">
        <v>27</v>
      </c>
      <c r="D249" s="6" t="s">
        <v>29</v>
      </c>
      <c r="E249" s="6" t="s">
        <v>228</v>
      </c>
      <c r="F249" s="6" t="s">
        <v>158</v>
      </c>
      <c r="G249" s="20">
        <f>594.7+326.8+2300</f>
        <v>3221.5</v>
      </c>
      <c r="H249" s="20">
        <f>594.7+326.8+2300</f>
        <v>3221.5</v>
      </c>
    </row>
    <row r="250" spans="1:10" ht="25.5">
      <c r="A250" s="105" t="s">
        <v>477</v>
      </c>
      <c r="B250" s="6">
        <v>969</v>
      </c>
      <c r="C250" s="6" t="s">
        <v>27</v>
      </c>
      <c r="D250" s="6" t="s">
        <v>29</v>
      </c>
      <c r="E250" s="6" t="s">
        <v>228</v>
      </c>
      <c r="F250" s="6" t="s">
        <v>75</v>
      </c>
      <c r="G250" s="20">
        <v>200</v>
      </c>
      <c r="H250" s="20">
        <v>200</v>
      </c>
    </row>
    <row r="251" spans="1:10" ht="25.5">
      <c r="A251" s="14" t="s">
        <v>76</v>
      </c>
      <c r="B251" s="6">
        <v>969</v>
      </c>
      <c r="C251" s="6" t="s">
        <v>27</v>
      </c>
      <c r="D251" s="6" t="s">
        <v>29</v>
      </c>
      <c r="E251" s="6" t="s">
        <v>228</v>
      </c>
      <c r="F251" s="6" t="s">
        <v>77</v>
      </c>
      <c r="G251" s="20">
        <f>300+0.0005</f>
        <v>300.00049999999999</v>
      </c>
      <c r="H251" s="20">
        <f>300-0.0001</f>
        <v>299.99990000000003</v>
      </c>
    </row>
    <row r="252" spans="1:10" s="41" customFormat="1">
      <c r="A252" s="14" t="s">
        <v>373</v>
      </c>
      <c r="B252" s="6">
        <v>969</v>
      </c>
      <c r="C252" s="6" t="s">
        <v>27</v>
      </c>
      <c r="D252" s="6" t="s">
        <v>29</v>
      </c>
      <c r="E252" s="6" t="s">
        <v>228</v>
      </c>
      <c r="F252" s="6" t="s">
        <v>372</v>
      </c>
      <c r="G252" s="20">
        <v>903.1</v>
      </c>
      <c r="H252" s="20">
        <v>903.1</v>
      </c>
    </row>
    <row r="253" spans="1:10" ht="25.5">
      <c r="A253" s="14" t="s">
        <v>78</v>
      </c>
      <c r="B253" s="6">
        <v>969</v>
      </c>
      <c r="C253" s="6" t="s">
        <v>27</v>
      </c>
      <c r="D253" s="6" t="s">
        <v>29</v>
      </c>
      <c r="E253" s="6" t="s">
        <v>228</v>
      </c>
      <c r="F253" s="6" t="s">
        <v>79</v>
      </c>
      <c r="G253" s="20">
        <v>17.100000000000001</v>
      </c>
      <c r="H253" s="20">
        <v>17.100000000000001</v>
      </c>
    </row>
    <row r="254" spans="1:10">
      <c r="A254" s="14" t="s">
        <v>159</v>
      </c>
      <c r="B254" s="6">
        <v>969</v>
      </c>
      <c r="C254" s="6" t="s">
        <v>27</v>
      </c>
      <c r="D254" s="6" t="s">
        <v>29</v>
      </c>
      <c r="E254" s="6" t="s">
        <v>228</v>
      </c>
      <c r="F254" s="6" t="s">
        <v>80</v>
      </c>
      <c r="G254" s="20">
        <v>26.8</v>
      </c>
      <c r="H254" s="20">
        <v>26.8</v>
      </c>
    </row>
    <row r="255" spans="1:10" ht="13.5">
      <c r="A255" s="64" t="s">
        <v>316</v>
      </c>
      <c r="B255" s="10" t="s">
        <v>117</v>
      </c>
      <c r="C255" s="10" t="s">
        <v>27</v>
      </c>
      <c r="D255" s="10" t="s">
        <v>29</v>
      </c>
      <c r="E255" s="10" t="s">
        <v>256</v>
      </c>
      <c r="F255" s="10"/>
      <c r="G255" s="54">
        <f>G256+G259</f>
        <v>298</v>
      </c>
      <c r="H255" s="54">
        <f>H256+H259</f>
        <v>298</v>
      </c>
    </row>
    <row r="256" spans="1:10" ht="25.5">
      <c r="A256" s="65" t="s">
        <v>257</v>
      </c>
      <c r="B256" s="4" t="s">
        <v>117</v>
      </c>
      <c r="C256" s="4" t="s">
        <v>27</v>
      </c>
      <c r="D256" s="4" t="s">
        <v>29</v>
      </c>
      <c r="E256" s="4" t="s">
        <v>258</v>
      </c>
      <c r="F256" s="4"/>
      <c r="G256" s="5">
        <f>G257</f>
        <v>200</v>
      </c>
      <c r="H256" s="5">
        <f>H257</f>
        <v>200</v>
      </c>
    </row>
    <row r="257" spans="1:10" ht="25.5">
      <c r="A257" s="65" t="s">
        <v>259</v>
      </c>
      <c r="B257" s="4" t="s">
        <v>117</v>
      </c>
      <c r="C257" s="4" t="s">
        <v>27</v>
      </c>
      <c r="D257" s="4" t="s">
        <v>29</v>
      </c>
      <c r="E257" s="4" t="s">
        <v>260</v>
      </c>
      <c r="F257" s="4"/>
      <c r="G257" s="5">
        <f>G258</f>
        <v>200</v>
      </c>
      <c r="H257" s="5">
        <f>H258</f>
        <v>200</v>
      </c>
    </row>
    <row r="258" spans="1:10">
      <c r="A258" s="26" t="s">
        <v>90</v>
      </c>
      <c r="B258" s="6" t="s">
        <v>117</v>
      </c>
      <c r="C258" s="6" t="s">
        <v>27</v>
      </c>
      <c r="D258" s="6" t="s">
        <v>29</v>
      </c>
      <c r="E258" s="6" t="s">
        <v>260</v>
      </c>
      <c r="F258" s="6" t="s">
        <v>91</v>
      </c>
      <c r="G258" s="20">
        <v>200</v>
      </c>
      <c r="H258" s="20">
        <v>200</v>
      </c>
    </row>
    <row r="259" spans="1:10" ht="38.25">
      <c r="A259" s="25" t="s">
        <v>344</v>
      </c>
      <c r="B259" s="4">
        <v>969</v>
      </c>
      <c r="C259" s="4" t="s">
        <v>27</v>
      </c>
      <c r="D259" s="4" t="s">
        <v>29</v>
      </c>
      <c r="E259" s="4" t="s">
        <v>345</v>
      </c>
      <c r="F259" s="95"/>
      <c r="G259" s="5">
        <f>G260</f>
        <v>98</v>
      </c>
      <c r="H259" s="5">
        <f>H260</f>
        <v>98</v>
      </c>
    </row>
    <row r="260" spans="1:10" ht="38.25">
      <c r="A260" s="25" t="s">
        <v>346</v>
      </c>
      <c r="B260" s="4">
        <v>969</v>
      </c>
      <c r="C260" s="4" t="s">
        <v>27</v>
      </c>
      <c r="D260" s="4" t="s">
        <v>29</v>
      </c>
      <c r="E260" s="4" t="s">
        <v>347</v>
      </c>
      <c r="F260" s="95"/>
      <c r="G260" s="5">
        <f>G261</f>
        <v>98</v>
      </c>
      <c r="H260" s="5">
        <f>H261</f>
        <v>98</v>
      </c>
    </row>
    <row r="261" spans="1:10" ht="25.5">
      <c r="A261" s="14" t="s">
        <v>76</v>
      </c>
      <c r="B261" s="6">
        <v>969</v>
      </c>
      <c r="C261" s="6" t="s">
        <v>27</v>
      </c>
      <c r="D261" s="6" t="s">
        <v>29</v>
      </c>
      <c r="E261" s="6" t="s">
        <v>347</v>
      </c>
      <c r="F261" s="73" t="s">
        <v>77</v>
      </c>
      <c r="G261" s="20">
        <v>98</v>
      </c>
      <c r="H261" s="20">
        <v>98</v>
      </c>
    </row>
    <row r="262" spans="1:10">
      <c r="A262" s="22" t="s">
        <v>87</v>
      </c>
      <c r="B262" s="9">
        <v>969</v>
      </c>
      <c r="C262" s="9" t="s">
        <v>32</v>
      </c>
      <c r="D262" s="9"/>
      <c r="E262" s="9"/>
      <c r="F262" s="9"/>
      <c r="G262" s="56">
        <f t="shared" ref="G262:H265" si="17">G263</f>
        <v>1500</v>
      </c>
      <c r="H262" s="56">
        <f t="shared" si="17"/>
        <v>1500</v>
      </c>
    </row>
    <row r="263" spans="1:10" s="41" customFormat="1">
      <c r="A263" s="28" t="s">
        <v>123</v>
      </c>
      <c r="B263" s="8">
        <v>969</v>
      </c>
      <c r="C263" s="8" t="s">
        <v>32</v>
      </c>
      <c r="D263" s="8" t="s">
        <v>38</v>
      </c>
      <c r="E263" s="8"/>
      <c r="F263" s="8"/>
      <c r="G263" s="57">
        <f t="shared" si="17"/>
        <v>1500</v>
      </c>
      <c r="H263" s="57">
        <f t="shared" si="17"/>
        <v>1500</v>
      </c>
    </row>
    <row r="264" spans="1:10">
      <c r="A264" s="18" t="s">
        <v>118</v>
      </c>
      <c r="B264" s="10" t="s">
        <v>117</v>
      </c>
      <c r="C264" s="10" t="s">
        <v>32</v>
      </c>
      <c r="D264" s="10" t="s">
        <v>38</v>
      </c>
      <c r="E264" s="10" t="s">
        <v>142</v>
      </c>
      <c r="F264" s="10"/>
      <c r="G264" s="58">
        <f t="shared" si="17"/>
        <v>1500</v>
      </c>
      <c r="H264" s="58">
        <f t="shared" si="17"/>
        <v>1500</v>
      </c>
    </row>
    <row r="265" spans="1:10" s="41" customFormat="1" ht="63.75">
      <c r="A265" s="25" t="s">
        <v>127</v>
      </c>
      <c r="B265" s="4" t="s">
        <v>117</v>
      </c>
      <c r="C265" s="4" t="s">
        <v>32</v>
      </c>
      <c r="D265" s="4" t="s">
        <v>38</v>
      </c>
      <c r="E265" s="4" t="s">
        <v>195</v>
      </c>
      <c r="F265" s="4"/>
      <c r="G265" s="116">
        <f t="shared" si="17"/>
        <v>1500</v>
      </c>
      <c r="H265" s="116">
        <f t="shared" si="17"/>
        <v>1500</v>
      </c>
    </row>
    <row r="266" spans="1:10" s="42" customFormat="1">
      <c r="A266" s="14" t="s">
        <v>90</v>
      </c>
      <c r="B266" s="6" t="s">
        <v>117</v>
      </c>
      <c r="C266" s="6" t="s">
        <v>32</v>
      </c>
      <c r="D266" s="6" t="s">
        <v>38</v>
      </c>
      <c r="E266" s="6" t="s">
        <v>195</v>
      </c>
      <c r="F266" s="6" t="s">
        <v>91</v>
      </c>
      <c r="G266" s="84">
        <v>1500</v>
      </c>
      <c r="H266" s="84">
        <v>1500</v>
      </c>
      <c r="I266" s="42">
        <v>1500</v>
      </c>
      <c r="J266" s="42">
        <v>1500</v>
      </c>
    </row>
    <row r="267" spans="1:10" s="21" customFormat="1" ht="25.5">
      <c r="A267" s="49" t="s">
        <v>55</v>
      </c>
      <c r="B267" s="50">
        <v>970</v>
      </c>
      <c r="C267" s="50"/>
      <c r="D267" s="50"/>
      <c r="E267" s="50"/>
      <c r="F267" s="50"/>
      <c r="G267" s="51">
        <f>G268+G278</f>
        <v>36855.9</v>
      </c>
      <c r="H267" s="51">
        <f>H268+H278</f>
        <v>37251.4</v>
      </c>
    </row>
    <row r="268" spans="1:10">
      <c r="A268" s="34" t="s">
        <v>82</v>
      </c>
      <c r="B268" s="9">
        <v>970</v>
      </c>
      <c r="C268" s="9" t="s">
        <v>23</v>
      </c>
      <c r="D268" s="9"/>
      <c r="E268" s="9"/>
      <c r="F268" s="9"/>
      <c r="G268" s="52">
        <f>G269</f>
        <v>12667.4</v>
      </c>
      <c r="H268" s="52">
        <f>H269</f>
        <v>12667.4</v>
      </c>
    </row>
    <row r="269" spans="1:10" ht="38.25">
      <c r="A269" s="28" t="s">
        <v>62</v>
      </c>
      <c r="B269" s="8">
        <v>970</v>
      </c>
      <c r="C269" s="8" t="s">
        <v>23</v>
      </c>
      <c r="D269" s="8" t="s">
        <v>31</v>
      </c>
      <c r="E269" s="8"/>
      <c r="F269" s="8"/>
      <c r="G269" s="53">
        <f>G270</f>
        <v>12667.4</v>
      </c>
      <c r="H269" s="53">
        <f>H270</f>
        <v>12667.4</v>
      </c>
    </row>
    <row r="270" spans="1:10" ht="25.5">
      <c r="A270" s="40" t="s">
        <v>444</v>
      </c>
      <c r="B270" s="10">
        <v>970</v>
      </c>
      <c r="C270" s="10" t="s">
        <v>23</v>
      </c>
      <c r="D270" s="10" t="s">
        <v>31</v>
      </c>
      <c r="E270" s="10" t="s">
        <v>136</v>
      </c>
      <c r="F270" s="10"/>
      <c r="G270" s="54">
        <f t="shared" ref="G270:H272" si="18">G271</f>
        <v>12667.4</v>
      </c>
      <c r="H270" s="54">
        <f t="shared" si="18"/>
        <v>12667.4</v>
      </c>
    </row>
    <row r="271" spans="1:10" ht="27">
      <c r="A271" s="69" t="s">
        <v>318</v>
      </c>
      <c r="B271" s="7">
        <v>970</v>
      </c>
      <c r="C271" s="7" t="s">
        <v>23</v>
      </c>
      <c r="D271" s="7" t="s">
        <v>31</v>
      </c>
      <c r="E271" s="7" t="s">
        <v>137</v>
      </c>
      <c r="F271" s="7"/>
      <c r="G271" s="44">
        <f t="shared" si="18"/>
        <v>12667.4</v>
      </c>
      <c r="H271" s="44">
        <f t="shared" si="18"/>
        <v>12667.4</v>
      </c>
    </row>
    <row r="272" spans="1:10" s="41" customFormat="1" ht="25.5">
      <c r="A272" s="31" t="s">
        <v>139</v>
      </c>
      <c r="B272" s="4">
        <v>970</v>
      </c>
      <c r="C272" s="4" t="s">
        <v>23</v>
      </c>
      <c r="D272" s="4" t="s">
        <v>31</v>
      </c>
      <c r="E272" s="4" t="s">
        <v>138</v>
      </c>
      <c r="F272" s="4"/>
      <c r="G272" s="5">
        <f t="shared" si="18"/>
        <v>12667.4</v>
      </c>
      <c r="H272" s="5">
        <f t="shared" si="18"/>
        <v>12667.4</v>
      </c>
    </row>
    <row r="273" spans="1:10" s="42" customFormat="1" ht="25.5">
      <c r="A273" s="29" t="s">
        <v>104</v>
      </c>
      <c r="B273" s="4">
        <v>970</v>
      </c>
      <c r="C273" s="4" t="s">
        <v>23</v>
      </c>
      <c r="D273" s="4" t="s">
        <v>31</v>
      </c>
      <c r="E273" s="4" t="s">
        <v>135</v>
      </c>
      <c r="F273" s="7"/>
      <c r="G273" s="5">
        <f>SUM(G274:G277)</f>
        <v>12667.4</v>
      </c>
      <c r="H273" s="5">
        <f>SUM(H274:H277)</f>
        <v>12667.4</v>
      </c>
    </row>
    <row r="274" spans="1:10" s="41" customFormat="1" ht="25.5">
      <c r="A274" s="14" t="s">
        <v>140</v>
      </c>
      <c r="B274" s="6">
        <v>970</v>
      </c>
      <c r="C274" s="6" t="s">
        <v>23</v>
      </c>
      <c r="D274" s="6" t="s">
        <v>31</v>
      </c>
      <c r="E274" s="6" t="s">
        <v>135</v>
      </c>
      <c r="F274" s="6" t="s">
        <v>73</v>
      </c>
      <c r="G274" s="20">
        <v>8116.3</v>
      </c>
      <c r="H274" s="20">
        <v>8116.3</v>
      </c>
    </row>
    <row r="275" spans="1:10" s="41" customFormat="1" ht="38.25">
      <c r="A275" s="14" t="s">
        <v>141</v>
      </c>
      <c r="B275" s="6">
        <v>970</v>
      </c>
      <c r="C275" s="6" t="s">
        <v>23</v>
      </c>
      <c r="D275" s="6" t="s">
        <v>31</v>
      </c>
      <c r="E275" s="6" t="s">
        <v>135</v>
      </c>
      <c r="F275" s="6" t="s">
        <v>134</v>
      </c>
      <c r="G275" s="20">
        <v>2451.1</v>
      </c>
      <c r="H275" s="20">
        <v>2451.1</v>
      </c>
    </row>
    <row r="276" spans="1:10" s="41" customFormat="1" ht="25.5">
      <c r="A276" s="105" t="s">
        <v>477</v>
      </c>
      <c r="B276" s="6">
        <v>970</v>
      </c>
      <c r="C276" s="6" t="s">
        <v>23</v>
      </c>
      <c r="D276" s="6" t="s">
        <v>31</v>
      </c>
      <c r="E276" s="6" t="s">
        <v>135</v>
      </c>
      <c r="F276" s="6" t="s">
        <v>75</v>
      </c>
      <c r="G276" s="20">
        <v>1600</v>
      </c>
      <c r="H276" s="20">
        <v>1600</v>
      </c>
    </row>
    <row r="277" spans="1:10" s="41" customFormat="1" ht="25.5">
      <c r="A277" s="14" t="s">
        <v>76</v>
      </c>
      <c r="B277" s="6">
        <v>970</v>
      </c>
      <c r="C277" s="6" t="s">
        <v>23</v>
      </c>
      <c r="D277" s="6" t="s">
        <v>31</v>
      </c>
      <c r="E277" s="6" t="s">
        <v>135</v>
      </c>
      <c r="F277" s="6" t="s">
        <v>77</v>
      </c>
      <c r="G277" s="20">
        <v>500</v>
      </c>
      <c r="H277" s="20">
        <v>500</v>
      </c>
    </row>
    <row r="278" spans="1:10" s="63" customFormat="1" ht="38.25">
      <c r="A278" s="22" t="s">
        <v>96</v>
      </c>
      <c r="B278" s="9">
        <v>970</v>
      </c>
      <c r="C278" s="9" t="s">
        <v>45</v>
      </c>
      <c r="D278" s="9"/>
      <c r="E278" s="9"/>
      <c r="F278" s="9"/>
      <c r="G278" s="52">
        <f t="shared" ref="G278:H281" si="19">G279</f>
        <v>24188.5</v>
      </c>
      <c r="H278" s="52">
        <f t="shared" si="19"/>
        <v>24584</v>
      </c>
    </row>
    <row r="279" spans="1:10" s="63" customFormat="1" ht="38.25">
      <c r="A279" s="24" t="s">
        <v>64</v>
      </c>
      <c r="B279" s="8">
        <v>970</v>
      </c>
      <c r="C279" s="8" t="s">
        <v>45</v>
      </c>
      <c r="D279" s="8" t="s">
        <v>23</v>
      </c>
      <c r="E279" s="8"/>
      <c r="F279" s="8"/>
      <c r="G279" s="53">
        <f t="shared" si="19"/>
        <v>24188.5</v>
      </c>
      <c r="H279" s="53">
        <f t="shared" si="19"/>
        <v>24584</v>
      </c>
    </row>
    <row r="280" spans="1:10" ht="25.5">
      <c r="A280" s="40" t="s">
        <v>444</v>
      </c>
      <c r="B280" s="10">
        <v>970</v>
      </c>
      <c r="C280" s="10" t="s">
        <v>45</v>
      </c>
      <c r="D280" s="10" t="s">
        <v>23</v>
      </c>
      <c r="E280" s="10" t="s">
        <v>136</v>
      </c>
      <c r="F280" s="10"/>
      <c r="G280" s="54">
        <f t="shared" si="19"/>
        <v>24188.5</v>
      </c>
      <c r="H280" s="54">
        <f t="shared" si="19"/>
        <v>24584</v>
      </c>
    </row>
    <row r="281" spans="1:10" ht="27">
      <c r="A281" s="32" t="s">
        <v>310</v>
      </c>
      <c r="B281" s="7">
        <v>970</v>
      </c>
      <c r="C281" s="7" t="s">
        <v>45</v>
      </c>
      <c r="D281" s="7" t="s">
        <v>23</v>
      </c>
      <c r="E281" s="7" t="s">
        <v>143</v>
      </c>
      <c r="F281" s="7"/>
      <c r="G281" s="44">
        <f t="shared" si="19"/>
        <v>24188.5</v>
      </c>
      <c r="H281" s="44">
        <f t="shared" si="19"/>
        <v>24584</v>
      </c>
    </row>
    <row r="282" spans="1:10" s="63" customFormat="1" ht="25.5">
      <c r="A282" s="16" t="s">
        <v>144</v>
      </c>
      <c r="B282" s="4">
        <v>970</v>
      </c>
      <c r="C282" s="4" t="s">
        <v>45</v>
      </c>
      <c r="D282" s="4" t="s">
        <v>23</v>
      </c>
      <c r="E282" s="4" t="s">
        <v>145</v>
      </c>
      <c r="F282" s="4"/>
      <c r="G282" s="5">
        <f>G283+G285</f>
        <v>24188.5</v>
      </c>
      <c r="H282" s="5">
        <f>H283+H285</f>
        <v>24584</v>
      </c>
    </row>
    <row r="283" spans="1:10" s="63" customFormat="1" ht="25.5">
      <c r="A283" s="16" t="s">
        <v>49</v>
      </c>
      <c r="B283" s="4">
        <v>970</v>
      </c>
      <c r="C283" s="4" t="s">
        <v>45</v>
      </c>
      <c r="D283" s="4" t="s">
        <v>23</v>
      </c>
      <c r="E283" s="4" t="s">
        <v>150</v>
      </c>
      <c r="F283" s="4"/>
      <c r="G283" s="5">
        <f>SUM(G284)</f>
        <v>24053.7</v>
      </c>
      <c r="H283" s="5">
        <f>SUM(H284)</f>
        <v>24443.9</v>
      </c>
    </row>
    <row r="284" spans="1:10" s="63" customFormat="1">
      <c r="A284" s="106" t="s">
        <v>110</v>
      </c>
      <c r="B284" s="94">
        <v>970</v>
      </c>
      <c r="C284" s="94" t="s">
        <v>45</v>
      </c>
      <c r="D284" s="94" t="s">
        <v>23</v>
      </c>
      <c r="E284" s="94" t="s">
        <v>150</v>
      </c>
      <c r="F284" s="94" t="s">
        <v>97</v>
      </c>
      <c r="G284" s="85">
        <v>24053.7</v>
      </c>
      <c r="H284" s="85">
        <v>24443.9</v>
      </c>
    </row>
    <row r="285" spans="1:10" s="63" customFormat="1" ht="25.5">
      <c r="A285" s="29" t="s">
        <v>109</v>
      </c>
      <c r="B285" s="4">
        <v>970</v>
      </c>
      <c r="C285" s="4" t="s">
        <v>45</v>
      </c>
      <c r="D285" s="4" t="s">
        <v>23</v>
      </c>
      <c r="E285" s="4" t="s">
        <v>146</v>
      </c>
      <c r="F285" s="4"/>
      <c r="G285" s="89">
        <f>SUM(G286)</f>
        <v>134.80000000000001</v>
      </c>
      <c r="H285" s="89">
        <f>SUM(H286)</f>
        <v>140.1</v>
      </c>
    </row>
    <row r="286" spans="1:10" s="63" customFormat="1">
      <c r="A286" s="19" t="s">
        <v>110</v>
      </c>
      <c r="B286" s="6">
        <v>970</v>
      </c>
      <c r="C286" s="6" t="s">
        <v>45</v>
      </c>
      <c r="D286" s="6" t="s">
        <v>23</v>
      </c>
      <c r="E286" s="6" t="s">
        <v>146</v>
      </c>
      <c r="F286" s="6" t="s">
        <v>97</v>
      </c>
      <c r="G286" s="85">
        <v>134.80000000000001</v>
      </c>
      <c r="H286" s="85">
        <v>140.1</v>
      </c>
      <c r="I286" s="63">
        <v>134.80000000000001</v>
      </c>
      <c r="J286" s="63">
        <v>140.1</v>
      </c>
    </row>
    <row r="287" spans="1:10" ht="25.5">
      <c r="A287" s="49" t="s">
        <v>72</v>
      </c>
      <c r="B287" s="50">
        <v>971</v>
      </c>
      <c r="C287" s="50"/>
      <c r="D287" s="50"/>
      <c r="E287" s="50"/>
      <c r="F287" s="50"/>
      <c r="G287" s="51">
        <f>G288+G305</f>
        <v>36125.119999999995</v>
      </c>
      <c r="H287" s="51">
        <f>H288+H305</f>
        <v>36125.119999999995</v>
      </c>
    </row>
    <row r="288" spans="1:10">
      <c r="A288" s="34" t="s">
        <v>82</v>
      </c>
      <c r="B288" s="9">
        <v>971</v>
      </c>
      <c r="C288" s="9" t="s">
        <v>23</v>
      </c>
      <c r="D288" s="9"/>
      <c r="E288" s="9"/>
      <c r="F288" s="9"/>
      <c r="G288" s="52">
        <f>G289</f>
        <v>20025.5</v>
      </c>
      <c r="H288" s="52">
        <f>H289</f>
        <v>20025.5</v>
      </c>
    </row>
    <row r="289" spans="1:10">
      <c r="A289" s="24" t="s">
        <v>71</v>
      </c>
      <c r="B289" s="8">
        <v>971</v>
      </c>
      <c r="C289" s="8" t="s">
        <v>23</v>
      </c>
      <c r="D289" s="8" t="s">
        <v>60</v>
      </c>
      <c r="E289" s="8"/>
      <c r="F289" s="8"/>
      <c r="G289" s="53">
        <f>G290+G302</f>
        <v>20025.5</v>
      </c>
      <c r="H289" s="53">
        <f>H290+H302</f>
        <v>20025.5</v>
      </c>
    </row>
    <row r="290" spans="1:10" s="41" customFormat="1" ht="51">
      <c r="A290" s="40" t="s">
        <v>440</v>
      </c>
      <c r="B290" s="10" t="s">
        <v>129</v>
      </c>
      <c r="C290" s="10" t="s">
        <v>23</v>
      </c>
      <c r="D290" s="10" t="s">
        <v>60</v>
      </c>
      <c r="E290" s="10" t="s">
        <v>160</v>
      </c>
      <c r="F290" s="10"/>
      <c r="G290" s="54">
        <f>G291</f>
        <v>10416.200000000001</v>
      </c>
      <c r="H290" s="54">
        <f>H291</f>
        <v>10416.200000000001</v>
      </c>
    </row>
    <row r="291" spans="1:10" s="41" customFormat="1" ht="40.5">
      <c r="A291" s="69" t="s">
        <v>319</v>
      </c>
      <c r="B291" s="7" t="s">
        <v>129</v>
      </c>
      <c r="C291" s="7" t="s">
        <v>23</v>
      </c>
      <c r="D291" s="7" t="s">
        <v>60</v>
      </c>
      <c r="E291" s="7" t="s">
        <v>161</v>
      </c>
      <c r="F291" s="7"/>
      <c r="G291" s="44">
        <f>G292+G299</f>
        <v>10416.200000000001</v>
      </c>
      <c r="H291" s="44">
        <f>H292+H299</f>
        <v>10416.200000000001</v>
      </c>
    </row>
    <row r="292" spans="1:10" s="41" customFormat="1" ht="38.25">
      <c r="A292" s="31" t="s">
        <v>277</v>
      </c>
      <c r="B292" s="4" t="s">
        <v>129</v>
      </c>
      <c r="C292" s="4" t="s">
        <v>23</v>
      </c>
      <c r="D292" s="4" t="s">
        <v>60</v>
      </c>
      <c r="E292" s="4" t="s">
        <v>359</v>
      </c>
      <c r="F292" s="4"/>
      <c r="G292" s="5">
        <f>G293+G296</f>
        <v>9616.2000000000007</v>
      </c>
      <c r="H292" s="5">
        <f>H293+H296</f>
        <v>9616.2000000000007</v>
      </c>
    </row>
    <row r="293" spans="1:10" ht="25.5">
      <c r="A293" s="29" t="s">
        <v>104</v>
      </c>
      <c r="B293" s="4" t="s">
        <v>129</v>
      </c>
      <c r="C293" s="4" t="s">
        <v>23</v>
      </c>
      <c r="D293" s="4" t="s">
        <v>60</v>
      </c>
      <c r="E293" s="4" t="s">
        <v>231</v>
      </c>
      <c r="F293" s="7"/>
      <c r="G293" s="5">
        <f>SUM(G294:G295)</f>
        <v>9266.2000000000007</v>
      </c>
      <c r="H293" s="5">
        <f>SUM(H294:H295)</f>
        <v>9266.2000000000007</v>
      </c>
    </row>
    <row r="294" spans="1:10" ht="25.5">
      <c r="A294" s="14" t="s">
        <v>140</v>
      </c>
      <c r="B294" s="6" t="s">
        <v>129</v>
      </c>
      <c r="C294" s="6" t="s">
        <v>23</v>
      </c>
      <c r="D294" s="6" t="s">
        <v>60</v>
      </c>
      <c r="E294" s="6" t="s">
        <v>231</v>
      </c>
      <c r="F294" s="6" t="s">
        <v>73</v>
      </c>
      <c r="G294" s="20">
        <v>7116.9</v>
      </c>
      <c r="H294" s="20">
        <v>7116.9</v>
      </c>
    </row>
    <row r="295" spans="1:10" s="41" customFormat="1" ht="38.25">
      <c r="A295" s="14" t="s">
        <v>141</v>
      </c>
      <c r="B295" s="6" t="s">
        <v>129</v>
      </c>
      <c r="C295" s="6" t="s">
        <v>23</v>
      </c>
      <c r="D295" s="6" t="s">
        <v>60</v>
      </c>
      <c r="E295" s="6" t="s">
        <v>231</v>
      </c>
      <c r="F295" s="6" t="s">
        <v>134</v>
      </c>
      <c r="G295" s="20">
        <v>2149.3000000000002</v>
      </c>
      <c r="H295" s="20">
        <v>2149.3000000000002</v>
      </c>
    </row>
    <row r="296" spans="1:10">
      <c r="A296" s="40" t="s">
        <v>478</v>
      </c>
      <c r="B296" s="10" t="s">
        <v>129</v>
      </c>
      <c r="C296" s="10" t="s">
        <v>23</v>
      </c>
      <c r="D296" s="10" t="s">
        <v>60</v>
      </c>
      <c r="E296" s="10" t="s">
        <v>479</v>
      </c>
      <c r="F296" s="10"/>
      <c r="G296" s="54">
        <f>SUM(G297:G298)</f>
        <v>350</v>
      </c>
      <c r="H296" s="54">
        <f>SUM(H297:H298)</f>
        <v>350</v>
      </c>
    </row>
    <row r="297" spans="1:10" ht="25.5">
      <c r="A297" s="14" t="s">
        <v>74</v>
      </c>
      <c r="B297" s="6" t="s">
        <v>129</v>
      </c>
      <c r="C297" s="6" t="s">
        <v>23</v>
      </c>
      <c r="D297" s="6" t="s">
        <v>60</v>
      </c>
      <c r="E297" s="6" t="s">
        <v>480</v>
      </c>
      <c r="F297" s="6" t="s">
        <v>75</v>
      </c>
      <c r="G297" s="20">
        <v>250</v>
      </c>
      <c r="H297" s="20">
        <v>250</v>
      </c>
    </row>
    <row r="298" spans="1:10" ht="25.5">
      <c r="A298" s="14" t="s">
        <v>76</v>
      </c>
      <c r="B298" s="6" t="s">
        <v>129</v>
      </c>
      <c r="C298" s="6" t="s">
        <v>23</v>
      </c>
      <c r="D298" s="6" t="s">
        <v>60</v>
      </c>
      <c r="E298" s="6" t="s">
        <v>480</v>
      </c>
      <c r="F298" s="6" t="s">
        <v>77</v>
      </c>
      <c r="G298" s="20">
        <v>100</v>
      </c>
      <c r="H298" s="20">
        <v>100</v>
      </c>
    </row>
    <row r="299" spans="1:10" ht="38.25">
      <c r="A299" s="31" t="s">
        <v>278</v>
      </c>
      <c r="B299" s="4">
        <v>971</v>
      </c>
      <c r="C299" s="4" t="s">
        <v>23</v>
      </c>
      <c r="D299" s="4" t="s">
        <v>60</v>
      </c>
      <c r="E299" s="4" t="s">
        <v>355</v>
      </c>
      <c r="F299" s="4"/>
      <c r="G299" s="5">
        <f>G300</f>
        <v>800</v>
      </c>
      <c r="H299" s="5">
        <f>H300</f>
        <v>800</v>
      </c>
    </row>
    <row r="300" spans="1:10" ht="38.25">
      <c r="A300" s="16" t="s">
        <v>169</v>
      </c>
      <c r="B300" s="4">
        <v>971</v>
      </c>
      <c r="C300" s="4" t="s">
        <v>23</v>
      </c>
      <c r="D300" s="4" t="s">
        <v>60</v>
      </c>
      <c r="E300" s="4" t="s">
        <v>232</v>
      </c>
      <c r="F300" s="4"/>
      <c r="G300" s="5">
        <f>SUM(G301:G301)</f>
        <v>800</v>
      </c>
      <c r="H300" s="5">
        <f>SUM(H301:H301)</f>
        <v>800</v>
      </c>
    </row>
    <row r="301" spans="1:10" ht="25.5">
      <c r="A301" s="14" t="s">
        <v>76</v>
      </c>
      <c r="B301" s="6">
        <v>971</v>
      </c>
      <c r="C301" s="6" t="s">
        <v>23</v>
      </c>
      <c r="D301" s="6" t="s">
        <v>60</v>
      </c>
      <c r="E301" s="6" t="s">
        <v>232</v>
      </c>
      <c r="F301" s="6" t="s">
        <v>77</v>
      </c>
      <c r="G301" s="20">
        <v>800</v>
      </c>
      <c r="H301" s="20">
        <v>800</v>
      </c>
    </row>
    <row r="302" spans="1:10">
      <c r="A302" s="39" t="s">
        <v>118</v>
      </c>
      <c r="B302" s="10" t="s">
        <v>129</v>
      </c>
      <c r="C302" s="10" t="s">
        <v>23</v>
      </c>
      <c r="D302" s="10" t="s">
        <v>60</v>
      </c>
      <c r="E302" s="10" t="s">
        <v>142</v>
      </c>
      <c r="F302" s="10"/>
      <c r="G302" s="54">
        <f>G303</f>
        <v>9609.2999999999993</v>
      </c>
      <c r="H302" s="54">
        <f>H303</f>
        <v>9609.2999999999993</v>
      </c>
    </row>
    <row r="303" spans="1:10" ht="50.25" customHeight="1">
      <c r="A303" s="25" t="s">
        <v>388</v>
      </c>
      <c r="B303" s="4">
        <v>971</v>
      </c>
      <c r="C303" s="4" t="s">
        <v>23</v>
      </c>
      <c r="D303" s="4" t="s">
        <v>60</v>
      </c>
      <c r="E303" s="4" t="s">
        <v>389</v>
      </c>
      <c r="F303" s="4"/>
      <c r="G303" s="89">
        <f>G304</f>
        <v>9609.2999999999993</v>
      </c>
      <c r="H303" s="89">
        <f>H304</f>
        <v>9609.2999999999993</v>
      </c>
    </row>
    <row r="304" spans="1:10" ht="28.5" customHeight="1">
      <c r="A304" s="105" t="s">
        <v>352</v>
      </c>
      <c r="B304" s="6">
        <v>971</v>
      </c>
      <c r="C304" s="6" t="s">
        <v>23</v>
      </c>
      <c r="D304" s="6" t="s">
        <v>60</v>
      </c>
      <c r="E304" s="6" t="s">
        <v>389</v>
      </c>
      <c r="F304" s="6" t="s">
        <v>351</v>
      </c>
      <c r="G304" s="85">
        <f>9321+288.3</f>
        <v>9609.2999999999993</v>
      </c>
      <c r="H304" s="85">
        <f>9321+288.3</f>
        <v>9609.2999999999993</v>
      </c>
      <c r="I304" s="1">
        <v>9321</v>
      </c>
      <c r="J304" s="1">
        <v>9321</v>
      </c>
    </row>
    <row r="305" spans="1:10">
      <c r="A305" s="22" t="s">
        <v>85</v>
      </c>
      <c r="B305" s="9">
        <v>971</v>
      </c>
      <c r="C305" s="9" t="s">
        <v>26</v>
      </c>
      <c r="D305" s="9"/>
      <c r="E305" s="9"/>
      <c r="F305" s="9"/>
      <c r="G305" s="52">
        <f>G306</f>
        <v>16099.619999999999</v>
      </c>
      <c r="H305" s="52">
        <f>H306</f>
        <v>16099.619999999999</v>
      </c>
    </row>
    <row r="306" spans="1:10">
      <c r="A306" s="97" t="s">
        <v>61</v>
      </c>
      <c r="B306" s="98" t="s">
        <v>129</v>
      </c>
      <c r="C306" s="98" t="s">
        <v>26</v>
      </c>
      <c r="D306" s="98" t="s">
        <v>29</v>
      </c>
      <c r="E306" s="98"/>
      <c r="F306" s="98"/>
      <c r="G306" s="99">
        <f>G307</f>
        <v>16099.619999999999</v>
      </c>
      <c r="H306" s="99">
        <f>H307</f>
        <v>16099.619999999999</v>
      </c>
    </row>
    <row r="307" spans="1:10" ht="51">
      <c r="A307" s="40" t="s">
        <v>440</v>
      </c>
      <c r="B307" s="10" t="s">
        <v>129</v>
      </c>
      <c r="C307" s="10" t="s">
        <v>26</v>
      </c>
      <c r="D307" s="10" t="s">
        <v>29</v>
      </c>
      <c r="E307" s="10" t="s">
        <v>160</v>
      </c>
      <c r="F307" s="10"/>
      <c r="G307" s="54">
        <f t="shared" ref="G307" si="20">G308</f>
        <v>16099.619999999999</v>
      </c>
      <c r="H307" s="54">
        <f>H308</f>
        <v>16099.619999999999</v>
      </c>
    </row>
    <row r="308" spans="1:10" ht="27">
      <c r="A308" s="69" t="s">
        <v>408</v>
      </c>
      <c r="B308" s="7" t="s">
        <v>129</v>
      </c>
      <c r="C308" s="7" t="s">
        <v>26</v>
      </c>
      <c r="D308" s="7" t="s">
        <v>29</v>
      </c>
      <c r="E308" s="7" t="s">
        <v>410</v>
      </c>
      <c r="F308" s="4"/>
      <c r="G308" s="5">
        <f>G309</f>
        <v>16099.619999999999</v>
      </c>
      <c r="H308" s="5">
        <f>H309</f>
        <v>16099.619999999999</v>
      </c>
    </row>
    <row r="309" spans="1:10" ht="25.5">
      <c r="A309" s="16" t="s">
        <v>409</v>
      </c>
      <c r="B309" s="71" t="s">
        <v>129</v>
      </c>
      <c r="C309" s="4" t="s">
        <v>26</v>
      </c>
      <c r="D309" s="4" t="s">
        <v>29</v>
      </c>
      <c r="E309" s="4" t="s">
        <v>411</v>
      </c>
      <c r="F309" s="100"/>
      <c r="G309" s="89">
        <f>G310+G312</f>
        <v>16099.619999999999</v>
      </c>
      <c r="H309" s="89">
        <f>H310+H312</f>
        <v>16099.619999999999</v>
      </c>
    </row>
    <row r="310" spans="1:10" ht="25.5">
      <c r="A310" s="16" t="s">
        <v>413</v>
      </c>
      <c r="B310" s="4" t="s">
        <v>129</v>
      </c>
      <c r="C310" s="4" t="s">
        <v>26</v>
      </c>
      <c r="D310" s="4" t="s">
        <v>29</v>
      </c>
      <c r="E310" s="4" t="s">
        <v>412</v>
      </c>
      <c r="F310" s="100"/>
      <c r="G310" s="5">
        <f>G311</f>
        <v>14627.659999999998</v>
      </c>
      <c r="H310" s="5">
        <f>SUM(H311:H311)</f>
        <v>14627.659999999998</v>
      </c>
    </row>
    <row r="311" spans="1:10" s="68" customFormat="1" ht="13.5">
      <c r="A311" s="26" t="s">
        <v>132</v>
      </c>
      <c r="B311" s="6" t="s">
        <v>129</v>
      </c>
      <c r="C311" s="6" t="s">
        <v>26</v>
      </c>
      <c r="D311" s="6" t="s">
        <v>29</v>
      </c>
      <c r="E311" s="6" t="s">
        <v>412</v>
      </c>
      <c r="F311" s="94" t="s">
        <v>84</v>
      </c>
      <c r="G311" s="85">
        <f>17764.6-44.16-3092.78</f>
        <v>14627.659999999998</v>
      </c>
      <c r="H311" s="85">
        <f>17764.6-44.16-3092.78</f>
        <v>14627.659999999998</v>
      </c>
    </row>
    <row r="312" spans="1:10" s="68" customFormat="1" ht="25.5">
      <c r="A312" s="109" t="s">
        <v>382</v>
      </c>
      <c r="B312" s="100" t="s">
        <v>129</v>
      </c>
      <c r="C312" s="100" t="s">
        <v>26</v>
      </c>
      <c r="D312" s="100" t="s">
        <v>29</v>
      </c>
      <c r="E312" s="100" t="s">
        <v>459</v>
      </c>
      <c r="F312" s="100"/>
      <c r="G312" s="89">
        <f>G313</f>
        <v>1471.96</v>
      </c>
      <c r="H312" s="89">
        <f>H313</f>
        <v>1471.96</v>
      </c>
    </row>
    <row r="313" spans="1:10" s="68" customFormat="1" ht="13.5">
      <c r="A313" s="14" t="s">
        <v>132</v>
      </c>
      <c r="B313" s="94" t="s">
        <v>129</v>
      </c>
      <c r="C313" s="94" t="s">
        <v>26</v>
      </c>
      <c r="D313" s="94" t="s">
        <v>29</v>
      </c>
      <c r="E313" s="94" t="s">
        <v>459</v>
      </c>
      <c r="F313" s="94" t="s">
        <v>84</v>
      </c>
      <c r="G313" s="85">
        <f>1427.8+44.16</f>
        <v>1471.96</v>
      </c>
      <c r="H313" s="85">
        <f>1427.8+44.16</f>
        <v>1471.96</v>
      </c>
      <c r="I313" s="68">
        <v>1427.8</v>
      </c>
      <c r="J313" s="68">
        <v>1427.8</v>
      </c>
    </row>
    <row r="314" spans="1:10" ht="38.25">
      <c r="A314" s="49" t="s">
        <v>8</v>
      </c>
      <c r="B314" s="50">
        <v>973</v>
      </c>
      <c r="C314" s="50"/>
      <c r="D314" s="50"/>
      <c r="E314" s="50"/>
      <c r="F314" s="50"/>
      <c r="G314" s="51">
        <f>G315+G324+G363</f>
        <v>92545</v>
      </c>
      <c r="H314" s="51">
        <f>H315+H324+H363</f>
        <v>92545</v>
      </c>
    </row>
    <row r="315" spans="1:10" s="41" customFormat="1">
      <c r="A315" s="22" t="s">
        <v>86</v>
      </c>
      <c r="B315" s="9">
        <v>973</v>
      </c>
      <c r="C315" s="9" t="s">
        <v>27</v>
      </c>
      <c r="D315" s="9" t="s">
        <v>24</v>
      </c>
      <c r="E315" s="9"/>
      <c r="F315" s="9"/>
      <c r="G315" s="56">
        <f t="shared" ref="G315:H318" si="21">G316</f>
        <v>24665</v>
      </c>
      <c r="H315" s="56">
        <f t="shared" si="21"/>
        <v>24665</v>
      </c>
    </row>
    <row r="316" spans="1:10">
      <c r="A316" s="24" t="s">
        <v>245</v>
      </c>
      <c r="B316" s="8">
        <v>973</v>
      </c>
      <c r="C316" s="8" t="s">
        <v>27</v>
      </c>
      <c r="D316" s="8" t="s">
        <v>38</v>
      </c>
      <c r="E316" s="8"/>
      <c r="F316" s="8"/>
      <c r="G316" s="53">
        <f t="shared" si="21"/>
        <v>24665</v>
      </c>
      <c r="H316" s="53">
        <f t="shared" si="21"/>
        <v>24665</v>
      </c>
    </row>
    <row r="317" spans="1:10" ht="25.5">
      <c r="A317" s="18" t="s">
        <v>445</v>
      </c>
      <c r="B317" s="10">
        <v>973</v>
      </c>
      <c r="C317" s="10" t="s">
        <v>27</v>
      </c>
      <c r="D317" s="10" t="s">
        <v>38</v>
      </c>
      <c r="E317" s="10" t="s">
        <v>171</v>
      </c>
      <c r="F317" s="10"/>
      <c r="G317" s="54">
        <f t="shared" si="21"/>
        <v>24665</v>
      </c>
      <c r="H317" s="54">
        <f t="shared" si="21"/>
        <v>24665</v>
      </c>
    </row>
    <row r="318" spans="1:10" ht="27">
      <c r="A318" s="43" t="s">
        <v>320</v>
      </c>
      <c r="B318" s="7">
        <v>973</v>
      </c>
      <c r="C318" s="7" t="s">
        <v>27</v>
      </c>
      <c r="D318" s="7" t="s">
        <v>38</v>
      </c>
      <c r="E318" s="7" t="s">
        <v>172</v>
      </c>
      <c r="F318" s="7"/>
      <c r="G318" s="44">
        <f t="shared" si="21"/>
        <v>24665</v>
      </c>
      <c r="H318" s="44">
        <f t="shared" si="21"/>
        <v>24665</v>
      </c>
    </row>
    <row r="319" spans="1:10" ht="25.5">
      <c r="A319" s="25" t="s">
        <v>173</v>
      </c>
      <c r="B319" s="4" t="s">
        <v>119</v>
      </c>
      <c r="C319" s="4" t="s">
        <v>27</v>
      </c>
      <c r="D319" s="4" t="s">
        <v>38</v>
      </c>
      <c r="E319" s="4" t="s">
        <v>174</v>
      </c>
      <c r="F319" s="4"/>
      <c r="G319" s="5">
        <f>G320+G322</f>
        <v>24665</v>
      </c>
      <c r="H319" s="5">
        <f>H320+H322</f>
        <v>24665</v>
      </c>
    </row>
    <row r="320" spans="1:10" ht="38.25">
      <c r="A320" s="23" t="s">
        <v>175</v>
      </c>
      <c r="B320" s="4">
        <v>973</v>
      </c>
      <c r="C320" s="4" t="s">
        <v>27</v>
      </c>
      <c r="D320" s="4" t="s">
        <v>38</v>
      </c>
      <c r="E320" s="4" t="s">
        <v>176</v>
      </c>
      <c r="F320" s="4"/>
      <c r="G320" s="89">
        <f>G321</f>
        <v>10942.2</v>
      </c>
      <c r="H320" s="89">
        <f>H321</f>
        <v>10942.2</v>
      </c>
    </row>
    <row r="321" spans="1:10" ht="51">
      <c r="A321" s="26" t="s">
        <v>89</v>
      </c>
      <c r="B321" s="6" t="s">
        <v>119</v>
      </c>
      <c r="C321" s="6" t="s">
        <v>27</v>
      </c>
      <c r="D321" s="6" t="s">
        <v>38</v>
      </c>
      <c r="E321" s="6" t="s">
        <v>176</v>
      </c>
      <c r="F321" s="6" t="s">
        <v>93</v>
      </c>
      <c r="G321" s="85">
        <f>15442.2+1500+1000-7000</f>
        <v>10942.2</v>
      </c>
      <c r="H321" s="85">
        <f>15442.2+1500+1000-7000</f>
        <v>10942.2</v>
      </c>
    </row>
    <row r="322" spans="1:10" ht="76.5">
      <c r="A322" s="25" t="s">
        <v>378</v>
      </c>
      <c r="B322" s="4">
        <v>973</v>
      </c>
      <c r="C322" s="4" t="s">
        <v>27</v>
      </c>
      <c r="D322" s="4" t="s">
        <v>38</v>
      </c>
      <c r="E322" s="4" t="s">
        <v>279</v>
      </c>
      <c r="F322" s="4"/>
      <c r="G322" s="89">
        <f>G323</f>
        <v>13722.8</v>
      </c>
      <c r="H322" s="89">
        <f>H323</f>
        <v>13722.8</v>
      </c>
    </row>
    <row r="323" spans="1:10" ht="51">
      <c r="A323" s="26" t="s">
        <v>89</v>
      </c>
      <c r="B323" s="6">
        <v>973</v>
      </c>
      <c r="C323" s="6" t="s">
        <v>27</v>
      </c>
      <c r="D323" s="6" t="s">
        <v>38</v>
      </c>
      <c r="E323" s="6" t="s">
        <v>279</v>
      </c>
      <c r="F323" s="6" t="s">
        <v>93</v>
      </c>
      <c r="G323" s="85">
        <v>13722.8</v>
      </c>
      <c r="H323" s="85">
        <v>13722.8</v>
      </c>
      <c r="I323" s="1">
        <v>13722.8</v>
      </c>
      <c r="J323" s="1">
        <v>13722.8</v>
      </c>
    </row>
    <row r="324" spans="1:10">
      <c r="A324" s="22" t="s">
        <v>92</v>
      </c>
      <c r="B324" s="9">
        <v>973</v>
      </c>
      <c r="C324" s="9" t="s">
        <v>40</v>
      </c>
      <c r="D324" s="9"/>
      <c r="E324" s="9"/>
      <c r="F324" s="9"/>
      <c r="G324" s="52">
        <f>G325+G346</f>
        <v>67510.899999999994</v>
      </c>
      <c r="H324" s="52">
        <f>H325+H346</f>
        <v>67510.899999999994</v>
      </c>
    </row>
    <row r="325" spans="1:10">
      <c r="A325" s="24" t="s">
        <v>20</v>
      </c>
      <c r="B325" s="8">
        <v>973</v>
      </c>
      <c r="C325" s="8" t="s">
        <v>40</v>
      </c>
      <c r="D325" s="8" t="s">
        <v>23</v>
      </c>
      <c r="E325" s="8"/>
      <c r="F325" s="8"/>
      <c r="G325" s="53">
        <f>G326+G343</f>
        <v>57676</v>
      </c>
      <c r="H325" s="53">
        <f>H326+H343</f>
        <v>57676</v>
      </c>
    </row>
    <row r="326" spans="1:10" s="41" customFormat="1" ht="25.5">
      <c r="A326" s="18" t="s">
        <v>445</v>
      </c>
      <c r="B326" s="10" t="s">
        <v>119</v>
      </c>
      <c r="C326" s="10" t="s">
        <v>30</v>
      </c>
      <c r="D326" s="10" t="s">
        <v>23</v>
      </c>
      <c r="E326" s="10" t="s">
        <v>171</v>
      </c>
      <c r="F326" s="10"/>
      <c r="G326" s="54">
        <f>G339+G333+G327</f>
        <v>49308.74</v>
      </c>
      <c r="H326" s="54">
        <f>H339+H333+H327</f>
        <v>49308.74</v>
      </c>
    </row>
    <row r="327" spans="1:10" ht="13.5">
      <c r="A327" s="43" t="s">
        <v>321</v>
      </c>
      <c r="B327" s="7" t="s">
        <v>119</v>
      </c>
      <c r="C327" s="7" t="s">
        <v>40</v>
      </c>
      <c r="D327" s="7" t="s">
        <v>23</v>
      </c>
      <c r="E327" s="7" t="s">
        <v>177</v>
      </c>
      <c r="F327" s="7"/>
      <c r="G327" s="44">
        <f>G328</f>
        <v>20981.72</v>
      </c>
      <c r="H327" s="44">
        <f>H328</f>
        <v>20981.72</v>
      </c>
    </row>
    <row r="328" spans="1:10" ht="25.5">
      <c r="A328" s="25" t="s">
        <v>178</v>
      </c>
      <c r="B328" s="4" t="s">
        <v>119</v>
      </c>
      <c r="C328" s="4" t="s">
        <v>30</v>
      </c>
      <c r="D328" s="4" t="s">
        <v>23</v>
      </c>
      <c r="E328" s="4" t="s">
        <v>179</v>
      </c>
      <c r="F328" s="4"/>
      <c r="G328" s="5">
        <f>G331+G329</f>
        <v>20981.72</v>
      </c>
      <c r="H328" s="5">
        <f>H331+H329</f>
        <v>20981.72</v>
      </c>
    </row>
    <row r="329" spans="1:10" ht="25.5">
      <c r="A329" s="23" t="s">
        <v>180</v>
      </c>
      <c r="B329" s="4" t="s">
        <v>119</v>
      </c>
      <c r="C329" s="4" t="s">
        <v>30</v>
      </c>
      <c r="D329" s="4" t="s">
        <v>23</v>
      </c>
      <c r="E329" s="4" t="s">
        <v>181</v>
      </c>
      <c r="F329" s="4"/>
      <c r="G329" s="89">
        <f>G330</f>
        <v>10532.1</v>
      </c>
      <c r="H329" s="89">
        <f>H330</f>
        <v>10532.1</v>
      </c>
    </row>
    <row r="330" spans="1:10" s="41" customFormat="1" ht="51">
      <c r="A330" s="15" t="s">
        <v>88</v>
      </c>
      <c r="B330" s="6" t="s">
        <v>119</v>
      </c>
      <c r="C330" s="6" t="s">
        <v>30</v>
      </c>
      <c r="D330" s="6" t="s">
        <v>23</v>
      </c>
      <c r="E330" s="6" t="s">
        <v>181</v>
      </c>
      <c r="F330" s="6" t="s">
        <v>94</v>
      </c>
      <c r="G330" s="85">
        <f>13032.1+500+1000-4000</f>
        <v>10532.1</v>
      </c>
      <c r="H330" s="85">
        <f>13032.1+500+1000-4000</f>
        <v>10532.1</v>
      </c>
    </row>
    <row r="331" spans="1:10" s="41" customFormat="1" ht="25.5">
      <c r="A331" s="23" t="s">
        <v>182</v>
      </c>
      <c r="B331" s="4" t="s">
        <v>119</v>
      </c>
      <c r="C331" s="4" t="s">
        <v>30</v>
      </c>
      <c r="D331" s="4" t="s">
        <v>23</v>
      </c>
      <c r="E331" s="4" t="s">
        <v>280</v>
      </c>
      <c r="F331" s="4"/>
      <c r="G331" s="89">
        <f>G332</f>
        <v>10449.620000000001</v>
      </c>
      <c r="H331" s="89">
        <f>H332</f>
        <v>10449.620000000001</v>
      </c>
    </row>
    <row r="332" spans="1:10" ht="51">
      <c r="A332" s="15" t="s">
        <v>88</v>
      </c>
      <c r="B332" s="6" t="s">
        <v>119</v>
      </c>
      <c r="C332" s="6" t="s">
        <v>30</v>
      </c>
      <c r="D332" s="6" t="s">
        <v>23</v>
      </c>
      <c r="E332" s="6" t="s">
        <v>280</v>
      </c>
      <c r="F332" s="6" t="s">
        <v>94</v>
      </c>
      <c r="G332" s="85">
        <v>10449.620000000001</v>
      </c>
      <c r="H332" s="85">
        <v>10449.620000000001</v>
      </c>
      <c r="I332" s="1">
        <v>10449.620000000001</v>
      </c>
      <c r="J332" s="1">
        <v>10449.620000000001</v>
      </c>
    </row>
    <row r="333" spans="1:10" ht="27">
      <c r="A333" s="67" t="s">
        <v>322</v>
      </c>
      <c r="B333" s="7" t="s">
        <v>119</v>
      </c>
      <c r="C333" s="7" t="s">
        <v>40</v>
      </c>
      <c r="D333" s="7" t="s">
        <v>23</v>
      </c>
      <c r="E333" s="7" t="s">
        <v>183</v>
      </c>
      <c r="F333" s="7"/>
      <c r="G333" s="90">
        <f>G334</f>
        <v>27827.019999999997</v>
      </c>
      <c r="H333" s="90">
        <f>H334</f>
        <v>27827.019999999997</v>
      </c>
    </row>
    <row r="334" spans="1:10" ht="25.5">
      <c r="A334" s="25" t="s">
        <v>184</v>
      </c>
      <c r="B334" s="4" t="s">
        <v>119</v>
      </c>
      <c r="C334" s="4" t="s">
        <v>30</v>
      </c>
      <c r="D334" s="4" t="s">
        <v>23</v>
      </c>
      <c r="E334" s="4" t="s">
        <v>185</v>
      </c>
      <c r="F334" s="4"/>
      <c r="G334" s="89">
        <f>G337+G335</f>
        <v>27827.019999999997</v>
      </c>
      <c r="H334" s="89">
        <f>H337+H335</f>
        <v>27827.019999999997</v>
      </c>
    </row>
    <row r="335" spans="1:10" ht="38.25">
      <c r="A335" s="23" t="s">
        <v>186</v>
      </c>
      <c r="B335" s="4" t="s">
        <v>119</v>
      </c>
      <c r="C335" s="4" t="s">
        <v>40</v>
      </c>
      <c r="D335" s="4" t="s">
        <v>23</v>
      </c>
      <c r="E335" s="4" t="s">
        <v>187</v>
      </c>
      <c r="F335" s="4"/>
      <c r="G335" s="89">
        <f>SUM(G336:G336)</f>
        <v>13370.599999999999</v>
      </c>
      <c r="H335" s="89">
        <f>SUM(H336:H336)</f>
        <v>13370.599999999999</v>
      </c>
    </row>
    <row r="336" spans="1:10" ht="51">
      <c r="A336" s="26" t="s">
        <v>89</v>
      </c>
      <c r="B336" s="6" t="s">
        <v>119</v>
      </c>
      <c r="C336" s="6" t="s">
        <v>30</v>
      </c>
      <c r="D336" s="6" t="s">
        <v>23</v>
      </c>
      <c r="E336" s="6" t="s">
        <v>187</v>
      </c>
      <c r="F336" s="6" t="s">
        <v>93</v>
      </c>
      <c r="G336" s="85">
        <f>21670.6+1700-10000</f>
        <v>13370.599999999999</v>
      </c>
      <c r="H336" s="85">
        <f>21670.6+1700-10000</f>
        <v>13370.599999999999</v>
      </c>
    </row>
    <row r="337" spans="1:10" ht="25.5">
      <c r="A337" s="23" t="s">
        <v>182</v>
      </c>
      <c r="B337" s="4" t="s">
        <v>119</v>
      </c>
      <c r="C337" s="4" t="s">
        <v>30</v>
      </c>
      <c r="D337" s="4" t="s">
        <v>23</v>
      </c>
      <c r="E337" s="4" t="s">
        <v>281</v>
      </c>
      <c r="F337" s="4"/>
      <c r="G337" s="89">
        <f>G338</f>
        <v>14456.42</v>
      </c>
      <c r="H337" s="89">
        <f>H338</f>
        <v>14456.42</v>
      </c>
    </row>
    <row r="338" spans="1:10" ht="51">
      <c r="A338" s="26" t="s">
        <v>89</v>
      </c>
      <c r="B338" s="6" t="s">
        <v>119</v>
      </c>
      <c r="C338" s="6" t="s">
        <v>30</v>
      </c>
      <c r="D338" s="6" t="s">
        <v>23</v>
      </c>
      <c r="E338" s="6" t="s">
        <v>281</v>
      </c>
      <c r="F338" s="6" t="s">
        <v>93</v>
      </c>
      <c r="G338" s="85">
        <v>14456.42</v>
      </c>
      <c r="H338" s="85">
        <v>14456.42</v>
      </c>
      <c r="I338" s="1">
        <v>14456.42</v>
      </c>
      <c r="J338" s="1">
        <v>14456.42</v>
      </c>
    </row>
    <row r="339" spans="1:10" ht="13.5" customHeight="1">
      <c r="A339" s="43" t="s">
        <v>323</v>
      </c>
      <c r="B339" s="7" t="s">
        <v>119</v>
      </c>
      <c r="C339" s="7" t="s">
        <v>30</v>
      </c>
      <c r="D339" s="7" t="s">
        <v>23</v>
      </c>
      <c r="E339" s="7" t="s">
        <v>188</v>
      </c>
      <c r="F339" s="7"/>
      <c r="G339" s="44">
        <f>G340</f>
        <v>500</v>
      </c>
      <c r="H339" s="44">
        <f>H340</f>
        <v>500</v>
      </c>
    </row>
    <row r="340" spans="1:10" ht="25.5" customHeight="1">
      <c r="A340" s="25" t="s">
        <v>189</v>
      </c>
      <c r="B340" s="4" t="s">
        <v>119</v>
      </c>
      <c r="C340" s="4" t="s">
        <v>30</v>
      </c>
      <c r="D340" s="4" t="s">
        <v>23</v>
      </c>
      <c r="E340" s="4" t="s">
        <v>190</v>
      </c>
      <c r="F340" s="4"/>
      <c r="G340" s="5">
        <f>G341</f>
        <v>500</v>
      </c>
      <c r="H340" s="5">
        <f>H341</f>
        <v>500</v>
      </c>
    </row>
    <row r="341" spans="1:10" ht="25.5" customHeight="1">
      <c r="A341" s="16" t="s">
        <v>191</v>
      </c>
      <c r="B341" s="4" t="s">
        <v>119</v>
      </c>
      <c r="C341" s="4" t="s">
        <v>30</v>
      </c>
      <c r="D341" s="4" t="s">
        <v>23</v>
      </c>
      <c r="E341" s="4" t="s">
        <v>192</v>
      </c>
      <c r="F341" s="4"/>
      <c r="G341" s="5">
        <f>SUM(G342:G342)</f>
        <v>500</v>
      </c>
      <c r="H341" s="5">
        <f>SUM(H342:H342)</f>
        <v>500</v>
      </c>
    </row>
    <row r="342" spans="1:10" ht="25.5" customHeight="1">
      <c r="A342" s="15" t="s">
        <v>105</v>
      </c>
      <c r="B342" s="6" t="s">
        <v>119</v>
      </c>
      <c r="C342" s="6" t="s">
        <v>30</v>
      </c>
      <c r="D342" s="6" t="s">
        <v>23</v>
      </c>
      <c r="E342" s="6" t="s">
        <v>192</v>
      </c>
      <c r="F342" s="6" t="s">
        <v>77</v>
      </c>
      <c r="G342" s="85">
        <v>500</v>
      </c>
      <c r="H342" s="85">
        <v>500</v>
      </c>
    </row>
    <row r="343" spans="1:10">
      <c r="A343" s="18" t="s">
        <v>194</v>
      </c>
      <c r="B343" s="10" t="s">
        <v>119</v>
      </c>
      <c r="C343" s="10" t="s">
        <v>30</v>
      </c>
      <c r="D343" s="10" t="s">
        <v>23</v>
      </c>
      <c r="E343" s="10" t="s">
        <v>142</v>
      </c>
      <c r="F343" s="10"/>
      <c r="G343" s="58">
        <f>G344</f>
        <v>8367.26</v>
      </c>
      <c r="H343" s="58">
        <f>H344</f>
        <v>8367.26</v>
      </c>
    </row>
    <row r="344" spans="1:10" ht="25.5">
      <c r="A344" s="23" t="s">
        <v>182</v>
      </c>
      <c r="B344" s="4" t="s">
        <v>119</v>
      </c>
      <c r="C344" s="4" t="s">
        <v>30</v>
      </c>
      <c r="D344" s="4" t="s">
        <v>23</v>
      </c>
      <c r="E344" s="4" t="s">
        <v>282</v>
      </c>
      <c r="F344" s="4"/>
      <c r="G344" s="5">
        <f>G345</f>
        <v>8367.26</v>
      </c>
      <c r="H344" s="5">
        <f>H345</f>
        <v>8367.26</v>
      </c>
    </row>
    <row r="345" spans="1:10">
      <c r="A345" s="26" t="s">
        <v>132</v>
      </c>
      <c r="B345" s="6" t="s">
        <v>119</v>
      </c>
      <c r="C345" s="6" t="s">
        <v>30</v>
      </c>
      <c r="D345" s="6" t="s">
        <v>23</v>
      </c>
      <c r="E345" s="6" t="s">
        <v>282</v>
      </c>
      <c r="F345" s="6" t="s">
        <v>84</v>
      </c>
      <c r="G345" s="85">
        <v>8367.26</v>
      </c>
      <c r="H345" s="85">
        <v>8367.26</v>
      </c>
      <c r="I345" s="1">
        <v>8367.26</v>
      </c>
      <c r="J345" s="1">
        <v>8367.26</v>
      </c>
    </row>
    <row r="346" spans="1:10">
      <c r="A346" s="27" t="s">
        <v>115</v>
      </c>
      <c r="B346" s="8" t="s">
        <v>119</v>
      </c>
      <c r="C346" s="8" t="s">
        <v>30</v>
      </c>
      <c r="D346" s="8" t="s">
        <v>26</v>
      </c>
      <c r="E346" s="8"/>
      <c r="F346" s="8"/>
      <c r="G346" s="53">
        <f>G347+G359</f>
        <v>9834.9</v>
      </c>
      <c r="H346" s="53">
        <f>H347+H359</f>
        <v>9834.9</v>
      </c>
    </row>
    <row r="347" spans="1:10" ht="25.5">
      <c r="A347" s="18" t="s">
        <v>445</v>
      </c>
      <c r="B347" s="10" t="s">
        <v>119</v>
      </c>
      <c r="C347" s="10" t="s">
        <v>40</v>
      </c>
      <c r="D347" s="10" t="s">
        <v>26</v>
      </c>
      <c r="E347" s="10" t="s">
        <v>171</v>
      </c>
      <c r="F347" s="10"/>
      <c r="G347" s="54">
        <f>G348</f>
        <v>9683.9</v>
      </c>
      <c r="H347" s="54">
        <f>H348</f>
        <v>9683.9</v>
      </c>
    </row>
    <row r="348" spans="1:10" ht="13.5">
      <c r="A348" s="43" t="s">
        <v>323</v>
      </c>
      <c r="B348" s="7" t="s">
        <v>119</v>
      </c>
      <c r="C348" s="7" t="s">
        <v>30</v>
      </c>
      <c r="D348" s="7" t="s">
        <v>26</v>
      </c>
      <c r="E348" s="7" t="s">
        <v>188</v>
      </c>
      <c r="F348" s="7"/>
      <c r="G348" s="44">
        <f>G349</f>
        <v>9683.9</v>
      </c>
      <c r="H348" s="44">
        <f>H349</f>
        <v>9683.9</v>
      </c>
    </row>
    <row r="349" spans="1:10" ht="25.5">
      <c r="A349" s="25" t="s">
        <v>379</v>
      </c>
      <c r="B349" s="4" t="s">
        <v>119</v>
      </c>
      <c r="C349" s="4" t="s">
        <v>30</v>
      </c>
      <c r="D349" s="4" t="s">
        <v>26</v>
      </c>
      <c r="E349" s="4" t="s">
        <v>380</v>
      </c>
      <c r="F349" s="7"/>
      <c r="G349" s="5">
        <f>G350+G353</f>
        <v>9683.9</v>
      </c>
      <c r="H349" s="5">
        <f>H350+H353</f>
        <v>9683.9</v>
      </c>
    </row>
    <row r="350" spans="1:10" ht="25.5">
      <c r="A350" s="25" t="s">
        <v>104</v>
      </c>
      <c r="B350" s="4" t="s">
        <v>119</v>
      </c>
      <c r="C350" s="4" t="s">
        <v>30</v>
      </c>
      <c r="D350" s="4" t="s">
        <v>26</v>
      </c>
      <c r="E350" s="4" t="s">
        <v>239</v>
      </c>
      <c r="F350" s="4"/>
      <c r="G350" s="5">
        <f>SUM(G351:G352)</f>
        <v>1434</v>
      </c>
      <c r="H350" s="5">
        <f>SUM(H351:H352)</f>
        <v>1434</v>
      </c>
    </row>
    <row r="351" spans="1:10" ht="25.5">
      <c r="A351" s="14" t="s">
        <v>140</v>
      </c>
      <c r="B351" s="6" t="s">
        <v>119</v>
      </c>
      <c r="C351" s="6" t="s">
        <v>30</v>
      </c>
      <c r="D351" s="6" t="s">
        <v>26</v>
      </c>
      <c r="E351" s="6" t="s">
        <v>239</v>
      </c>
      <c r="F351" s="6" t="s">
        <v>73</v>
      </c>
      <c r="G351" s="20">
        <v>1101.4000000000001</v>
      </c>
      <c r="H351" s="20">
        <v>1101.4000000000001</v>
      </c>
    </row>
    <row r="352" spans="1:10" ht="38.25">
      <c r="A352" s="14" t="s">
        <v>141</v>
      </c>
      <c r="B352" s="6" t="s">
        <v>119</v>
      </c>
      <c r="C352" s="6" t="s">
        <v>30</v>
      </c>
      <c r="D352" s="6" t="s">
        <v>26</v>
      </c>
      <c r="E352" s="6" t="s">
        <v>239</v>
      </c>
      <c r="F352" s="6" t="s">
        <v>134</v>
      </c>
      <c r="G352" s="20">
        <v>332.6</v>
      </c>
      <c r="H352" s="20">
        <v>332.6</v>
      </c>
    </row>
    <row r="353" spans="1:10" ht="25.5">
      <c r="A353" s="16" t="s">
        <v>294</v>
      </c>
      <c r="B353" s="4" t="s">
        <v>119</v>
      </c>
      <c r="C353" s="4" t="s">
        <v>30</v>
      </c>
      <c r="D353" s="4" t="s">
        <v>26</v>
      </c>
      <c r="E353" s="4" t="s">
        <v>193</v>
      </c>
      <c r="F353" s="4"/>
      <c r="G353" s="89">
        <f>SUM(G354:G358)</f>
        <v>8249.9</v>
      </c>
      <c r="H353" s="89">
        <f>SUM(H354:H358)</f>
        <v>8249.9</v>
      </c>
    </row>
    <row r="354" spans="1:10">
      <c r="A354" s="15" t="s">
        <v>236</v>
      </c>
      <c r="B354" s="6" t="s">
        <v>119</v>
      </c>
      <c r="C354" s="6" t="s">
        <v>30</v>
      </c>
      <c r="D354" s="6" t="s">
        <v>26</v>
      </c>
      <c r="E354" s="6" t="s">
        <v>193</v>
      </c>
      <c r="F354" s="6" t="s">
        <v>107</v>
      </c>
      <c r="G354" s="85">
        <f>10978-5000</f>
        <v>5978</v>
      </c>
      <c r="H354" s="85">
        <f>10978-5000</f>
        <v>5978</v>
      </c>
    </row>
    <row r="355" spans="1:10" ht="38.25">
      <c r="A355" s="15" t="s">
        <v>235</v>
      </c>
      <c r="B355" s="6" t="s">
        <v>119</v>
      </c>
      <c r="C355" s="6" t="s">
        <v>30</v>
      </c>
      <c r="D355" s="6" t="s">
        <v>26</v>
      </c>
      <c r="E355" s="6" t="s">
        <v>193</v>
      </c>
      <c r="F355" s="6" t="s">
        <v>158</v>
      </c>
      <c r="G355" s="85">
        <f>3315.4-1800</f>
        <v>1515.4</v>
      </c>
      <c r="H355" s="85">
        <f>3315.4-1800</f>
        <v>1515.4</v>
      </c>
    </row>
    <row r="356" spans="1:10" ht="25.5">
      <c r="A356" s="15" t="s">
        <v>477</v>
      </c>
      <c r="B356" s="6" t="s">
        <v>119</v>
      </c>
      <c r="C356" s="6" t="s">
        <v>30</v>
      </c>
      <c r="D356" s="6" t="s">
        <v>26</v>
      </c>
      <c r="E356" s="6" t="s">
        <v>193</v>
      </c>
      <c r="F356" s="6" t="s">
        <v>75</v>
      </c>
      <c r="G356" s="85">
        <v>250</v>
      </c>
      <c r="H356" s="85">
        <v>250</v>
      </c>
    </row>
    <row r="357" spans="1:10" ht="25.5">
      <c r="A357" s="15" t="s">
        <v>105</v>
      </c>
      <c r="B357" s="6" t="s">
        <v>119</v>
      </c>
      <c r="C357" s="6" t="s">
        <v>30</v>
      </c>
      <c r="D357" s="6" t="s">
        <v>26</v>
      </c>
      <c r="E357" s="6" t="s">
        <v>193</v>
      </c>
      <c r="F357" s="6" t="s">
        <v>77</v>
      </c>
      <c r="G357" s="85">
        <v>500</v>
      </c>
      <c r="H357" s="85">
        <v>500</v>
      </c>
    </row>
    <row r="358" spans="1:10">
      <c r="A358" s="15" t="s">
        <v>159</v>
      </c>
      <c r="B358" s="6" t="s">
        <v>119</v>
      </c>
      <c r="C358" s="6" t="s">
        <v>30</v>
      </c>
      <c r="D358" s="6" t="s">
        <v>26</v>
      </c>
      <c r="E358" s="6" t="s">
        <v>193</v>
      </c>
      <c r="F358" s="6" t="s">
        <v>80</v>
      </c>
      <c r="G358" s="20">
        <v>6.5</v>
      </c>
      <c r="H358" s="20">
        <v>6.5</v>
      </c>
    </row>
    <row r="359" spans="1:10" ht="25.5">
      <c r="A359" s="18" t="s">
        <v>446</v>
      </c>
      <c r="B359" s="10" t="s">
        <v>119</v>
      </c>
      <c r="C359" s="10" t="s">
        <v>30</v>
      </c>
      <c r="D359" s="10" t="s">
        <v>26</v>
      </c>
      <c r="E359" s="10" t="s">
        <v>251</v>
      </c>
      <c r="F359" s="10"/>
      <c r="G359" s="54">
        <f t="shared" ref="G359:H361" si="22">G360</f>
        <v>151</v>
      </c>
      <c r="H359" s="54">
        <f t="shared" si="22"/>
        <v>151</v>
      </c>
    </row>
    <row r="360" spans="1:10" ht="25.5">
      <c r="A360" s="25" t="s">
        <v>263</v>
      </c>
      <c r="B360" s="4" t="s">
        <v>119</v>
      </c>
      <c r="C360" s="4" t="s">
        <v>30</v>
      </c>
      <c r="D360" s="4" t="s">
        <v>26</v>
      </c>
      <c r="E360" s="4" t="s">
        <v>356</v>
      </c>
      <c r="F360" s="4"/>
      <c r="G360" s="59">
        <f t="shared" si="22"/>
        <v>151</v>
      </c>
      <c r="H360" s="59">
        <f t="shared" si="22"/>
        <v>151</v>
      </c>
    </row>
    <row r="361" spans="1:10" ht="25.5">
      <c r="A361" s="23" t="s">
        <v>252</v>
      </c>
      <c r="B361" s="4" t="s">
        <v>119</v>
      </c>
      <c r="C361" s="4" t="s">
        <v>30</v>
      </c>
      <c r="D361" s="4" t="s">
        <v>26</v>
      </c>
      <c r="E361" s="4" t="s">
        <v>357</v>
      </c>
      <c r="F361" s="4"/>
      <c r="G361" s="5">
        <f t="shared" si="22"/>
        <v>151</v>
      </c>
      <c r="H361" s="5">
        <f t="shared" si="22"/>
        <v>151</v>
      </c>
    </row>
    <row r="362" spans="1:10">
      <c r="A362" s="15" t="s">
        <v>404</v>
      </c>
      <c r="B362" s="6" t="s">
        <v>119</v>
      </c>
      <c r="C362" s="6" t="s">
        <v>30</v>
      </c>
      <c r="D362" s="6" t="s">
        <v>26</v>
      </c>
      <c r="E362" s="6" t="s">
        <v>357</v>
      </c>
      <c r="F362" s="6" t="s">
        <v>403</v>
      </c>
      <c r="G362" s="85">
        <v>151</v>
      </c>
      <c r="H362" s="85">
        <v>151</v>
      </c>
    </row>
    <row r="363" spans="1:10">
      <c r="A363" s="22" t="s">
        <v>87</v>
      </c>
      <c r="B363" s="9" t="s">
        <v>119</v>
      </c>
      <c r="C363" s="9" t="s">
        <v>32</v>
      </c>
      <c r="D363" s="9"/>
      <c r="E363" s="9"/>
      <c r="F363" s="9"/>
      <c r="G363" s="56">
        <f t="shared" ref="G363:H365" si="23">G364</f>
        <v>369.1</v>
      </c>
      <c r="H363" s="56">
        <f t="shared" si="23"/>
        <v>369.1</v>
      </c>
    </row>
    <row r="364" spans="1:10">
      <c r="A364" s="28" t="s">
        <v>123</v>
      </c>
      <c r="B364" s="8" t="s">
        <v>119</v>
      </c>
      <c r="C364" s="8" t="s">
        <v>32</v>
      </c>
      <c r="D364" s="8" t="s">
        <v>38</v>
      </c>
      <c r="E364" s="8"/>
      <c r="F364" s="8"/>
      <c r="G364" s="57">
        <f t="shared" si="23"/>
        <v>369.1</v>
      </c>
      <c r="H364" s="57">
        <f t="shared" si="23"/>
        <v>369.1</v>
      </c>
    </row>
    <row r="365" spans="1:10">
      <c r="A365" s="18" t="s">
        <v>194</v>
      </c>
      <c r="B365" s="10" t="s">
        <v>119</v>
      </c>
      <c r="C365" s="10" t="s">
        <v>32</v>
      </c>
      <c r="D365" s="10" t="s">
        <v>38</v>
      </c>
      <c r="E365" s="10" t="s">
        <v>142</v>
      </c>
      <c r="F365" s="10"/>
      <c r="G365" s="58">
        <f t="shared" si="23"/>
        <v>369.1</v>
      </c>
      <c r="H365" s="58">
        <f t="shared" si="23"/>
        <v>369.1</v>
      </c>
    </row>
    <row r="366" spans="1:10" s="41" customFormat="1" ht="204">
      <c r="A366" s="23" t="s">
        <v>381</v>
      </c>
      <c r="B366" s="4" t="s">
        <v>119</v>
      </c>
      <c r="C366" s="4" t="s">
        <v>32</v>
      </c>
      <c r="D366" s="4" t="s">
        <v>38</v>
      </c>
      <c r="E366" s="4" t="s">
        <v>195</v>
      </c>
      <c r="F366" s="4"/>
      <c r="G366" s="116">
        <f>SUM(G367:G368)</f>
        <v>369.1</v>
      </c>
      <c r="H366" s="116">
        <f>SUM(H367:H368)</f>
        <v>369.1</v>
      </c>
    </row>
    <row r="367" spans="1:10">
      <c r="A367" s="14" t="s">
        <v>90</v>
      </c>
      <c r="B367" s="6" t="s">
        <v>119</v>
      </c>
      <c r="C367" s="6" t="s">
        <v>32</v>
      </c>
      <c r="D367" s="6" t="s">
        <v>38</v>
      </c>
      <c r="E367" s="6" t="s">
        <v>195</v>
      </c>
      <c r="F367" s="6" t="s">
        <v>91</v>
      </c>
      <c r="G367" s="84">
        <v>47.1</v>
      </c>
      <c r="H367" s="84">
        <v>47.1</v>
      </c>
      <c r="I367" s="1">
        <v>47.1</v>
      </c>
      <c r="J367" s="1">
        <v>47.1</v>
      </c>
    </row>
    <row r="368" spans="1:10">
      <c r="A368" s="26" t="s">
        <v>101</v>
      </c>
      <c r="B368" s="6">
        <v>973</v>
      </c>
      <c r="C368" s="6" t="s">
        <v>32</v>
      </c>
      <c r="D368" s="6" t="s">
        <v>38</v>
      </c>
      <c r="E368" s="6" t="s">
        <v>195</v>
      </c>
      <c r="F368" s="6" t="s">
        <v>102</v>
      </c>
      <c r="G368" s="85">
        <v>322</v>
      </c>
      <c r="H368" s="85">
        <v>322</v>
      </c>
      <c r="I368" s="1">
        <v>322</v>
      </c>
      <c r="J368" s="1">
        <v>322</v>
      </c>
    </row>
    <row r="369" spans="1:10" ht="51">
      <c r="A369" s="49" t="s">
        <v>7</v>
      </c>
      <c r="B369" s="50" t="s">
        <v>6</v>
      </c>
      <c r="C369" s="50"/>
      <c r="D369" s="50"/>
      <c r="E369" s="50"/>
      <c r="F369" s="50"/>
      <c r="G369" s="51">
        <f>G392+G381+G370</f>
        <v>41068.6</v>
      </c>
      <c r="H369" s="51">
        <f>H392+H381+H370</f>
        <v>41086.400000000001</v>
      </c>
    </row>
    <row r="370" spans="1:10">
      <c r="A370" s="22" t="s">
        <v>86</v>
      </c>
      <c r="B370" s="9" t="s">
        <v>6</v>
      </c>
      <c r="C370" s="9" t="s">
        <v>27</v>
      </c>
      <c r="D370" s="9"/>
      <c r="E370" s="9"/>
      <c r="F370" s="9"/>
      <c r="G370" s="56">
        <f>G371</f>
        <v>2777.6</v>
      </c>
      <c r="H370" s="56">
        <f>H371</f>
        <v>2777.6</v>
      </c>
    </row>
    <row r="371" spans="1:10">
      <c r="A371" s="28" t="s">
        <v>42</v>
      </c>
      <c r="B371" s="8" t="s">
        <v>6</v>
      </c>
      <c r="C371" s="8" t="s">
        <v>27</v>
      </c>
      <c r="D371" s="8" t="s">
        <v>27</v>
      </c>
      <c r="E371" s="8"/>
      <c r="F371" s="8"/>
      <c r="G371" s="57">
        <f>G372</f>
        <v>2777.6</v>
      </c>
      <c r="H371" s="57">
        <f>H372</f>
        <v>2777.6</v>
      </c>
    </row>
    <row r="372" spans="1:10" ht="38.25">
      <c r="A372" s="35" t="s">
        <v>295</v>
      </c>
      <c r="B372" s="10" t="s">
        <v>6</v>
      </c>
      <c r="C372" s="10" t="s">
        <v>27</v>
      </c>
      <c r="D372" s="10" t="s">
        <v>27</v>
      </c>
      <c r="E372" s="96" t="s">
        <v>196</v>
      </c>
      <c r="F372" s="96"/>
      <c r="G372" s="91">
        <f>G373+G377</f>
        <v>2777.6</v>
      </c>
      <c r="H372" s="91">
        <f>H373+H377</f>
        <v>2777.6</v>
      </c>
    </row>
    <row r="373" spans="1:10" ht="27">
      <c r="A373" s="32" t="s">
        <v>327</v>
      </c>
      <c r="B373" s="7" t="s">
        <v>6</v>
      </c>
      <c r="C373" s="7" t="s">
        <v>27</v>
      </c>
      <c r="D373" s="7" t="s">
        <v>27</v>
      </c>
      <c r="E373" s="7" t="s">
        <v>301</v>
      </c>
      <c r="F373" s="7"/>
      <c r="G373" s="101">
        <f>G374</f>
        <v>103</v>
      </c>
      <c r="H373" s="101">
        <f>H374</f>
        <v>103</v>
      </c>
    </row>
    <row r="374" spans="1:10" ht="38.25">
      <c r="A374" s="31" t="s">
        <v>447</v>
      </c>
      <c r="B374" s="4" t="s">
        <v>6</v>
      </c>
      <c r="C374" s="4" t="s">
        <v>27</v>
      </c>
      <c r="D374" s="4" t="s">
        <v>27</v>
      </c>
      <c r="E374" s="4" t="s">
        <v>375</v>
      </c>
      <c r="F374" s="6"/>
      <c r="G374" s="116">
        <f>G375</f>
        <v>103</v>
      </c>
      <c r="H374" s="116">
        <f t="shared" ref="G374:H375" si="24">H375</f>
        <v>103</v>
      </c>
    </row>
    <row r="375" spans="1:10" ht="25.5">
      <c r="A375" s="31" t="s">
        <v>376</v>
      </c>
      <c r="B375" s="4" t="s">
        <v>6</v>
      </c>
      <c r="C375" s="4" t="s">
        <v>27</v>
      </c>
      <c r="D375" s="4" t="s">
        <v>27</v>
      </c>
      <c r="E375" s="4" t="s">
        <v>377</v>
      </c>
      <c r="F375" s="6"/>
      <c r="G375" s="116">
        <f t="shared" si="24"/>
        <v>103</v>
      </c>
      <c r="H375" s="116">
        <f t="shared" si="24"/>
        <v>103</v>
      </c>
    </row>
    <row r="376" spans="1:10" ht="25.5">
      <c r="A376" s="15" t="s">
        <v>105</v>
      </c>
      <c r="B376" s="6" t="s">
        <v>6</v>
      </c>
      <c r="C376" s="6" t="s">
        <v>27</v>
      </c>
      <c r="D376" s="6" t="s">
        <v>27</v>
      </c>
      <c r="E376" s="6" t="s">
        <v>377</v>
      </c>
      <c r="F376" s="6" t="s">
        <v>77</v>
      </c>
      <c r="G376" s="84">
        <f>100+3</f>
        <v>103</v>
      </c>
      <c r="H376" s="84">
        <f>100+3</f>
        <v>103</v>
      </c>
      <c r="I376" s="1">
        <v>100</v>
      </c>
      <c r="J376" s="1">
        <v>100</v>
      </c>
    </row>
    <row r="377" spans="1:10" ht="27">
      <c r="A377" s="43" t="s">
        <v>324</v>
      </c>
      <c r="B377" s="7" t="s">
        <v>6</v>
      </c>
      <c r="C377" s="7" t="s">
        <v>27</v>
      </c>
      <c r="D377" s="7" t="s">
        <v>27</v>
      </c>
      <c r="E377" s="7" t="s">
        <v>329</v>
      </c>
      <c r="F377" s="7"/>
      <c r="G377" s="44">
        <f>G378</f>
        <v>2674.6</v>
      </c>
      <c r="H377" s="44">
        <f>H378</f>
        <v>2674.6</v>
      </c>
    </row>
    <row r="378" spans="1:10" ht="38.25">
      <c r="A378" s="25" t="s">
        <v>448</v>
      </c>
      <c r="B378" s="4" t="s">
        <v>6</v>
      </c>
      <c r="C378" s="4" t="s">
        <v>27</v>
      </c>
      <c r="D378" s="4" t="s">
        <v>27</v>
      </c>
      <c r="E378" s="4" t="s">
        <v>330</v>
      </c>
      <c r="F378" s="4"/>
      <c r="G378" s="5">
        <f t="shared" ref="G378:H379" si="25">G379</f>
        <v>2674.6</v>
      </c>
      <c r="H378" s="5">
        <f t="shared" si="25"/>
        <v>2674.6</v>
      </c>
    </row>
    <row r="379" spans="1:10" s="41" customFormat="1" ht="38.25">
      <c r="A379" s="25" t="s">
        <v>283</v>
      </c>
      <c r="B379" s="4" t="s">
        <v>6</v>
      </c>
      <c r="C379" s="4" t="s">
        <v>27</v>
      </c>
      <c r="D379" s="4" t="s">
        <v>27</v>
      </c>
      <c r="E379" s="4" t="s">
        <v>337</v>
      </c>
      <c r="F379" s="4"/>
      <c r="G379" s="5">
        <f t="shared" si="25"/>
        <v>2674.6</v>
      </c>
      <c r="H379" s="5">
        <f t="shared" si="25"/>
        <v>2674.6</v>
      </c>
    </row>
    <row r="380" spans="1:10" ht="51">
      <c r="A380" s="15" t="s">
        <v>89</v>
      </c>
      <c r="B380" s="6" t="s">
        <v>6</v>
      </c>
      <c r="C380" s="6" t="s">
        <v>27</v>
      </c>
      <c r="D380" s="6" t="s">
        <v>27</v>
      </c>
      <c r="E380" s="6" t="s">
        <v>337</v>
      </c>
      <c r="F380" s="6" t="s">
        <v>93</v>
      </c>
      <c r="G380" s="85">
        <f>1674.6+1000</f>
        <v>2674.6</v>
      </c>
      <c r="H380" s="85">
        <f>1674.6+1000</f>
        <v>2674.6</v>
      </c>
    </row>
    <row r="381" spans="1:10">
      <c r="A381" s="22" t="s">
        <v>87</v>
      </c>
      <c r="B381" s="9" t="s">
        <v>6</v>
      </c>
      <c r="C381" s="9" t="s">
        <v>32</v>
      </c>
      <c r="D381" s="9"/>
      <c r="E381" s="9"/>
      <c r="F381" s="9"/>
      <c r="G381" s="56">
        <f>G382+G386</f>
        <v>1969.3250899999998</v>
      </c>
      <c r="H381" s="56">
        <f>H382+H386</f>
        <v>1991.4822399999998</v>
      </c>
    </row>
    <row r="382" spans="1:10">
      <c r="A382" s="28" t="s">
        <v>123</v>
      </c>
      <c r="B382" s="8" t="s">
        <v>6</v>
      </c>
      <c r="C382" s="8" t="s">
        <v>32</v>
      </c>
      <c r="D382" s="8" t="s">
        <v>38</v>
      </c>
      <c r="E382" s="8"/>
      <c r="F382" s="8"/>
      <c r="G382" s="57">
        <f t="shared" ref="G382:H384" si="26">G383</f>
        <v>233.1</v>
      </c>
      <c r="H382" s="57">
        <f t="shared" si="26"/>
        <v>233.1</v>
      </c>
    </row>
    <row r="383" spans="1:10">
      <c r="A383" s="18" t="s">
        <v>194</v>
      </c>
      <c r="B383" s="10" t="s">
        <v>6</v>
      </c>
      <c r="C383" s="10" t="s">
        <v>32</v>
      </c>
      <c r="D383" s="10" t="s">
        <v>38</v>
      </c>
      <c r="E383" s="10" t="s">
        <v>142</v>
      </c>
      <c r="F383" s="10"/>
      <c r="G383" s="58">
        <f t="shared" si="26"/>
        <v>233.1</v>
      </c>
      <c r="H383" s="58">
        <f t="shared" si="26"/>
        <v>233.1</v>
      </c>
    </row>
    <row r="384" spans="1:10" ht="204">
      <c r="A384" s="25" t="s">
        <v>381</v>
      </c>
      <c r="B384" s="4" t="s">
        <v>6</v>
      </c>
      <c r="C384" s="4" t="s">
        <v>32</v>
      </c>
      <c r="D384" s="4" t="s">
        <v>38</v>
      </c>
      <c r="E384" s="4" t="s">
        <v>195</v>
      </c>
      <c r="F384" s="4"/>
      <c r="G384" s="116">
        <f t="shared" si="26"/>
        <v>233.1</v>
      </c>
      <c r="H384" s="116">
        <f t="shared" si="26"/>
        <v>233.1</v>
      </c>
    </row>
    <row r="385" spans="1:10">
      <c r="A385" s="14" t="s">
        <v>90</v>
      </c>
      <c r="B385" s="6" t="s">
        <v>6</v>
      </c>
      <c r="C385" s="6" t="s">
        <v>32</v>
      </c>
      <c r="D385" s="6" t="s">
        <v>38</v>
      </c>
      <c r="E385" s="6" t="s">
        <v>195</v>
      </c>
      <c r="F385" s="6" t="s">
        <v>91</v>
      </c>
      <c r="G385" s="84">
        <v>233.1</v>
      </c>
      <c r="H385" s="84">
        <v>233.1</v>
      </c>
      <c r="I385" s="1">
        <v>233.1</v>
      </c>
      <c r="J385" s="1">
        <v>233.1</v>
      </c>
    </row>
    <row r="386" spans="1:10">
      <c r="A386" s="28" t="s">
        <v>501</v>
      </c>
      <c r="B386" s="8" t="s">
        <v>6</v>
      </c>
      <c r="C386" s="8" t="s">
        <v>32</v>
      </c>
      <c r="D386" s="8" t="s">
        <v>26</v>
      </c>
      <c r="E386" s="8"/>
      <c r="F386" s="8"/>
      <c r="G386" s="57">
        <f>G387</f>
        <v>1736.2250899999999</v>
      </c>
      <c r="H386" s="57">
        <f>H387</f>
        <v>1758.3822399999999</v>
      </c>
    </row>
    <row r="387" spans="1:10" ht="38.25">
      <c r="A387" s="18" t="s">
        <v>449</v>
      </c>
      <c r="B387" s="10" t="s">
        <v>6</v>
      </c>
      <c r="C387" s="10" t="s">
        <v>32</v>
      </c>
      <c r="D387" s="10" t="s">
        <v>26</v>
      </c>
      <c r="E387" s="10" t="s">
        <v>196</v>
      </c>
      <c r="F387" s="10"/>
      <c r="G387" s="58">
        <f>G388</f>
        <v>1736.2250899999999</v>
      </c>
      <c r="H387" s="58">
        <f>H388</f>
        <v>1758.3822399999999</v>
      </c>
    </row>
    <row r="388" spans="1:10" ht="13.5">
      <c r="A388" s="43" t="s">
        <v>502</v>
      </c>
      <c r="B388" s="7" t="s">
        <v>6</v>
      </c>
      <c r="C388" s="7" t="s">
        <v>32</v>
      </c>
      <c r="D388" s="7" t="s">
        <v>26</v>
      </c>
      <c r="E388" s="7" t="s">
        <v>503</v>
      </c>
      <c r="F388" s="7"/>
      <c r="G388" s="124">
        <f t="shared" ref="G388:H390" si="27">G389</f>
        <v>1736.2250899999999</v>
      </c>
      <c r="H388" s="124">
        <f t="shared" si="27"/>
        <v>1758.3822399999999</v>
      </c>
    </row>
    <row r="389" spans="1:10" ht="25.5">
      <c r="A389" s="25" t="s">
        <v>504</v>
      </c>
      <c r="B389" s="4" t="s">
        <v>6</v>
      </c>
      <c r="C389" s="4" t="s">
        <v>32</v>
      </c>
      <c r="D389" s="4" t="s">
        <v>26</v>
      </c>
      <c r="E389" s="4" t="s">
        <v>505</v>
      </c>
      <c r="F389" s="4"/>
      <c r="G389" s="59">
        <f>G390</f>
        <v>1736.2250899999999</v>
      </c>
      <c r="H389" s="59">
        <f>H390</f>
        <v>1758.3822399999999</v>
      </c>
    </row>
    <row r="390" spans="1:10" ht="25.5">
      <c r="A390" s="25" t="s">
        <v>506</v>
      </c>
      <c r="B390" s="4" t="s">
        <v>6</v>
      </c>
      <c r="C390" s="4" t="s">
        <v>32</v>
      </c>
      <c r="D390" s="4" t="s">
        <v>26</v>
      </c>
      <c r="E390" s="4" t="s">
        <v>507</v>
      </c>
      <c r="F390" s="4"/>
      <c r="G390" s="59">
        <f t="shared" si="27"/>
        <v>1736.2250899999999</v>
      </c>
      <c r="H390" s="59">
        <f t="shared" si="27"/>
        <v>1758.3822399999999</v>
      </c>
      <c r="I390" s="1">
        <v>1394.8</v>
      </c>
      <c r="J390" s="1">
        <v>1412.6</v>
      </c>
    </row>
    <row r="391" spans="1:10">
      <c r="A391" s="26" t="s">
        <v>508</v>
      </c>
      <c r="B391" s="6" t="s">
        <v>6</v>
      </c>
      <c r="C391" s="6" t="s">
        <v>32</v>
      </c>
      <c r="D391" s="6" t="s">
        <v>26</v>
      </c>
      <c r="E391" s="6" t="s">
        <v>507</v>
      </c>
      <c r="F391" s="94" t="s">
        <v>509</v>
      </c>
      <c r="G391" s="84">
        <f>1394.8+341.42509</f>
        <v>1736.2250899999999</v>
      </c>
      <c r="H391" s="84">
        <f>1412.6+345.78224</f>
        <v>1758.3822399999999</v>
      </c>
    </row>
    <row r="392" spans="1:10">
      <c r="A392" s="22" t="s">
        <v>95</v>
      </c>
      <c r="B392" s="9" t="s">
        <v>6</v>
      </c>
      <c r="C392" s="9" t="s">
        <v>43</v>
      </c>
      <c r="D392" s="9"/>
      <c r="E392" s="9"/>
      <c r="F392" s="9"/>
      <c r="G392" s="52">
        <f>G393+G412+G404</f>
        <v>36321.674910000002</v>
      </c>
      <c r="H392" s="52">
        <f>H393+H412+H404</f>
        <v>36317.317760000005</v>
      </c>
    </row>
    <row r="393" spans="1:10">
      <c r="A393" s="24" t="s">
        <v>65</v>
      </c>
      <c r="B393" s="8" t="s">
        <v>6</v>
      </c>
      <c r="C393" s="8" t="s">
        <v>43</v>
      </c>
      <c r="D393" s="8" t="s">
        <v>25</v>
      </c>
      <c r="E393" s="8"/>
      <c r="F393" s="8"/>
      <c r="G393" s="53">
        <f>G394</f>
        <v>4529</v>
      </c>
      <c r="H393" s="53">
        <f>H394</f>
        <v>4529</v>
      </c>
    </row>
    <row r="394" spans="1:10" ht="38.25">
      <c r="A394" s="18" t="s">
        <v>449</v>
      </c>
      <c r="B394" s="10" t="s">
        <v>6</v>
      </c>
      <c r="C394" s="10" t="s">
        <v>43</v>
      </c>
      <c r="D394" s="10" t="s">
        <v>25</v>
      </c>
      <c r="E394" s="10" t="s">
        <v>196</v>
      </c>
      <c r="F394" s="10"/>
      <c r="G394" s="54">
        <f>G395+G399</f>
        <v>4529</v>
      </c>
      <c r="H394" s="54">
        <f>H395+H399</f>
        <v>4529</v>
      </c>
    </row>
    <row r="395" spans="1:10" ht="27">
      <c r="A395" s="43" t="s">
        <v>325</v>
      </c>
      <c r="B395" s="7" t="s">
        <v>6</v>
      </c>
      <c r="C395" s="7" t="s">
        <v>43</v>
      </c>
      <c r="D395" s="7" t="s">
        <v>25</v>
      </c>
      <c r="E395" s="77" t="s">
        <v>284</v>
      </c>
      <c r="F395" s="7"/>
      <c r="G395" s="44">
        <f>G397</f>
        <v>500</v>
      </c>
      <c r="H395" s="44">
        <f>H397</f>
        <v>500</v>
      </c>
    </row>
    <row r="396" spans="1:10" ht="25.5">
      <c r="A396" s="25" t="s">
        <v>399</v>
      </c>
      <c r="B396" s="4" t="s">
        <v>6</v>
      </c>
      <c r="C396" s="4" t="s">
        <v>43</v>
      </c>
      <c r="D396" s="4" t="s">
        <v>25</v>
      </c>
      <c r="E396" s="71" t="s">
        <v>450</v>
      </c>
      <c r="F396" s="7"/>
      <c r="G396" s="5">
        <f>G397</f>
        <v>500</v>
      </c>
      <c r="H396" s="5">
        <f>H397</f>
        <v>500</v>
      </c>
    </row>
    <row r="397" spans="1:10" ht="25.5">
      <c r="A397" s="25" t="s">
        <v>130</v>
      </c>
      <c r="B397" s="4" t="s">
        <v>6</v>
      </c>
      <c r="C397" s="4" t="s">
        <v>43</v>
      </c>
      <c r="D397" s="4" t="s">
        <v>25</v>
      </c>
      <c r="E397" s="71" t="s">
        <v>285</v>
      </c>
      <c r="F397" s="4"/>
      <c r="G397" s="5">
        <f>G398</f>
        <v>500</v>
      </c>
      <c r="H397" s="5">
        <f>H398</f>
        <v>500</v>
      </c>
    </row>
    <row r="398" spans="1:10" ht="25.5">
      <c r="A398" s="15" t="s">
        <v>105</v>
      </c>
      <c r="B398" s="6" t="s">
        <v>6</v>
      </c>
      <c r="C398" s="6" t="s">
        <v>43</v>
      </c>
      <c r="D398" s="6" t="s">
        <v>25</v>
      </c>
      <c r="E398" s="72" t="s">
        <v>285</v>
      </c>
      <c r="F398" s="6" t="s">
        <v>77</v>
      </c>
      <c r="G398" s="20">
        <v>500</v>
      </c>
      <c r="H398" s="20">
        <v>500</v>
      </c>
    </row>
    <row r="399" spans="1:10" ht="27">
      <c r="A399" s="43" t="s">
        <v>328</v>
      </c>
      <c r="B399" s="7" t="s">
        <v>6</v>
      </c>
      <c r="C399" s="7" t="s">
        <v>43</v>
      </c>
      <c r="D399" s="7" t="s">
        <v>25</v>
      </c>
      <c r="E399" s="77" t="s">
        <v>454</v>
      </c>
      <c r="F399" s="7"/>
      <c r="G399" s="44">
        <f>G400</f>
        <v>4029</v>
      </c>
      <c r="H399" s="44">
        <f>H400</f>
        <v>4029</v>
      </c>
    </row>
    <row r="400" spans="1:10" ht="25.5">
      <c r="A400" s="25" t="s">
        <v>396</v>
      </c>
      <c r="B400" s="4" t="s">
        <v>6</v>
      </c>
      <c r="C400" s="4" t="s">
        <v>43</v>
      </c>
      <c r="D400" s="4" t="s">
        <v>25</v>
      </c>
      <c r="E400" s="71" t="s">
        <v>286</v>
      </c>
      <c r="F400" s="7"/>
      <c r="G400" s="44">
        <f>G401</f>
        <v>4029</v>
      </c>
      <c r="H400" s="44">
        <f>H401</f>
        <v>4029</v>
      </c>
    </row>
    <row r="401" spans="1:10" ht="25.5">
      <c r="A401" s="16" t="s">
        <v>395</v>
      </c>
      <c r="B401" s="4" t="s">
        <v>6</v>
      </c>
      <c r="C401" s="4" t="s">
        <v>43</v>
      </c>
      <c r="D401" s="4" t="s">
        <v>25</v>
      </c>
      <c r="E401" s="71" t="s">
        <v>287</v>
      </c>
      <c r="F401" s="4"/>
      <c r="G401" s="89">
        <f>G402+G403</f>
        <v>4029</v>
      </c>
      <c r="H401" s="89">
        <f>H402+H403</f>
        <v>4029</v>
      </c>
      <c r="I401" s="1">
        <v>1107.5999999999999</v>
      </c>
      <c r="J401" s="1">
        <v>1107.5999999999999</v>
      </c>
    </row>
    <row r="402" spans="1:10">
      <c r="A402" s="15" t="s">
        <v>237</v>
      </c>
      <c r="B402" s="6" t="s">
        <v>6</v>
      </c>
      <c r="C402" s="6" t="s">
        <v>43</v>
      </c>
      <c r="D402" s="6" t="s">
        <v>25</v>
      </c>
      <c r="E402" s="72" t="s">
        <v>287</v>
      </c>
      <c r="F402" s="6" t="s">
        <v>107</v>
      </c>
      <c r="G402" s="85">
        <f>859.2+2243.8-8.5</f>
        <v>3094.5</v>
      </c>
      <c r="H402" s="85">
        <f>859.2+2243.8-8.5</f>
        <v>3094.5</v>
      </c>
    </row>
    <row r="403" spans="1:10" ht="38.25">
      <c r="A403" s="15" t="s">
        <v>238</v>
      </c>
      <c r="B403" s="6" t="s">
        <v>6</v>
      </c>
      <c r="C403" s="6" t="s">
        <v>43</v>
      </c>
      <c r="D403" s="6" t="s">
        <v>25</v>
      </c>
      <c r="E403" s="72" t="s">
        <v>287</v>
      </c>
      <c r="F403" s="6" t="s">
        <v>158</v>
      </c>
      <c r="G403" s="85">
        <f>259.5+677.6-2.6</f>
        <v>934.5</v>
      </c>
      <c r="H403" s="85">
        <f>259.5+677.6-2.6</f>
        <v>934.5</v>
      </c>
    </row>
    <row r="404" spans="1:10" s="42" customFormat="1">
      <c r="A404" s="24" t="s">
        <v>11</v>
      </c>
      <c r="B404" s="8" t="s">
        <v>6</v>
      </c>
      <c r="C404" s="8" t="s">
        <v>43</v>
      </c>
      <c r="D404" s="8" t="s">
        <v>38</v>
      </c>
      <c r="E404" s="8"/>
      <c r="F404" s="8"/>
      <c r="G404" s="53">
        <f t="shared" ref="G404:H406" si="28">G405</f>
        <v>24465.474909999997</v>
      </c>
      <c r="H404" s="53">
        <f t="shared" si="28"/>
        <v>24461.117760000001</v>
      </c>
    </row>
    <row r="405" spans="1:10" ht="38.25">
      <c r="A405" s="18" t="s">
        <v>449</v>
      </c>
      <c r="B405" s="10" t="s">
        <v>6</v>
      </c>
      <c r="C405" s="10" t="s">
        <v>43</v>
      </c>
      <c r="D405" s="10" t="s">
        <v>38</v>
      </c>
      <c r="E405" s="10" t="s">
        <v>196</v>
      </c>
      <c r="F405" s="10"/>
      <c r="G405" s="54">
        <f t="shared" si="28"/>
        <v>24465.474909999997</v>
      </c>
      <c r="H405" s="54">
        <f t="shared" si="28"/>
        <v>24461.117760000001</v>
      </c>
    </row>
    <row r="406" spans="1:10" ht="13.5">
      <c r="A406" s="32" t="s">
        <v>326</v>
      </c>
      <c r="B406" s="7" t="s">
        <v>6</v>
      </c>
      <c r="C406" s="7" t="s">
        <v>43</v>
      </c>
      <c r="D406" s="7" t="s">
        <v>38</v>
      </c>
      <c r="E406" s="7" t="s">
        <v>299</v>
      </c>
      <c r="F406" s="7"/>
      <c r="G406" s="44">
        <f t="shared" si="28"/>
        <v>24465.474909999997</v>
      </c>
      <c r="H406" s="44">
        <f t="shared" si="28"/>
        <v>24461.117760000001</v>
      </c>
    </row>
    <row r="407" spans="1:10" ht="25.5">
      <c r="A407" s="25" t="s">
        <v>288</v>
      </c>
      <c r="B407" s="4" t="s">
        <v>6</v>
      </c>
      <c r="C407" s="4" t="s">
        <v>43</v>
      </c>
      <c r="D407" s="4" t="s">
        <v>38</v>
      </c>
      <c r="E407" s="4" t="s">
        <v>289</v>
      </c>
      <c r="F407" s="4"/>
      <c r="G407" s="5">
        <f>G408+G410</f>
        <v>24465.474909999997</v>
      </c>
      <c r="H407" s="5">
        <f>H408+H410</f>
        <v>24461.117760000001</v>
      </c>
    </row>
    <row r="408" spans="1:10" ht="25.5">
      <c r="A408" s="25" t="s">
        <v>300</v>
      </c>
      <c r="B408" s="4" t="s">
        <v>6</v>
      </c>
      <c r="C408" s="4" t="s">
        <v>43</v>
      </c>
      <c r="D408" s="4" t="s">
        <v>38</v>
      </c>
      <c r="E408" s="4" t="s">
        <v>290</v>
      </c>
      <c r="F408" s="4"/>
      <c r="G408" s="5">
        <f>G409</f>
        <v>11043.574909999999</v>
      </c>
      <c r="H408" s="5">
        <f>H409</f>
        <v>11039.21776</v>
      </c>
    </row>
    <row r="409" spans="1:10" ht="51">
      <c r="A409" s="26" t="s">
        <v>88</v>
      </c>
      <c r="B409" s="6" t="s">
        <v>6</v>
      </c>
      <c r="C409" s="6" t="s">
        <v>43</v>
      </c>
      <c r="D409" s="6" t="s">
        <v>38</v>
      </c>
      <c r="E409" s="6" t="s">
        <v>290</v>
      </c>
      <c r="F409" s="6" t="s">
        <v>94</v>
      </c>
      <c r="G409" s="85">
        <f>21385-10000-341.42509</f>
        <v>11043.574909999999</v>
      </c>
      <c r="H409" s="85">
        <f>21385-10000-345.78224</f>
        <v>11039.21776</v>
      </c>
    </row>
    <row r="410" spans="1:10" ht="25.5">
      <c r="A410" s="25" t="s">
        <v>398</v>
      </c>
      <c r="B410" s="4" t="s">
        <v>6</v>
      </c>
      <c r="C410" s="4" t="s">
        <v>43</v>
      </c>
      <c r="D410" s="4" t="s">
        <v>38</v>
      </c>
      <c r="E410" s="4" t="s">
        <v>305</v>
      </c>
      <c r="F410" s="4"/>
      <c r="G410" s="89">
        <f>G411</f>
        <v>13421.9</v>
      </c>
      <c r="H410" s="89">
        <f>H411</f>
        <v>13421.9</v>
      </c>
    </row>
    <row r="411" spans="1:10" s="41" customFormat="1" ht="51">
      <c r="A411" s="26" t="s">
        <v>88</v>
      </c>
      <c r="B411" s="6" t="s">
        <v>6</v>
      </c>
      <c r="C411" s="6" t="s">
        <v>43</v>
      </c>
      <c r="D411" s="6" t="s">
        <v>38</v>
      </c>
      <c r="E411" s="6" t="s">
        <v>305</v>
      </c>
      <c r="F411" s="6" t="s">
        <v>94</v>
      </c>
      <c r="G411" s="85">
        <v>13421.9</v>
      </c>
      <c r="H411" s="85">
        <v>13421.9</v>
      </c>
      <c r="I411" s="41">
        <v>13421.9</v>
      </c>
      <c r="J411" s="41">
        <v>13421.9</v>
      </c>
    </row>
    <row r="412" spans="1:10">
      <c r="A412" s="24" t="s">
        <v>10</v>
      </c>
      <c r="B412" s="8" t="s">
        <v>6</v>
      </c>
      <c r="C412" s="8" t="s">
        <v>43</v>
      </c>
      <c r="D412" s="8" t="s">
        <v>28</v>
      </c>
      <c r="E412" s="8"/>
      <c r="F412" s="8"/>
      <c r="G412" s="53">
        <f>G414</f>
        <v>7327.2</v>
      </c>
      <c r="H412" s="53">
        <f>H414</f>
        <v>7327.2</v>
      </c>
    </row>
    <row r="413" spans="1:10" ht="38.25">
      <c r="A413" s="18" t="s">
        <v>449</v>
      </c>
      <c r="B413" s="10" t="s">
        <v>6</v>
      </c>
      <c r="C413" s="10" t="s">
        <v>43</v>
      </c>
      <c r="D413" s="10" t="s">
        <v>28</v>
      </c>
      <c r="E413" s="10" t="s">
        <v>196</v>
      </c>
      <c r="F413" s="10"/>
      <c r="G413" s="54">
        <f>G414</f>
        <v>7327.2</v>
      </c>
      <c r="H413" s="54">
        <f>H414</f>
        <v>7327.2</v>
      </c>
    </row>
    <row r="414" spans="1:10" s="41" customFormat="1" ht="27">
      <c r="A414" s="32" t="s">
        <v>327</v>
      </c>
      <c r="B414" s="7" t="s">
        <v>6</v>
      </c>
      <c r="C414" s="7" t="s">
        <v>43</v>
      </c>
      <c r="D414" s="7" t="s">
        <v>28</v>
      </c>
      <c r="E414" s="7" t="s">
        <v>301</v>
      </c>
      <c r="F414" s="7"/>
      <c r="G414" s="44">
        <f>G415</f>
        <v>7327.2</v>
      </c>
      <c r="H414" s="44">
        <f>H415</f>
        <v>7327.2</v>
      </c>
    </row>
    <row r="415" spans="1:10" ht="33.75" customHeight="1">
      <c r="A415" s="31" t="s">
        <v>397</v>
      </c>
      <c r="B415" s="4" t="s">
        <v>6</v>
      </c>
      <c r="C415" s="4" t="s">
        <v>43</v>
      </c>
      <c r="D415" s="4" t="s">
        <v>28</v>
      </c>
      <c r="E415" s="4" t="s">
        <v>375</v>
      </c>
      <c r="F415" s="4"/>
      <c r="G415" s="5">
        <f>G416+G419</f>
        <v>7327.2</v>
      </c>
      <c r="H415" s="5">
        <f>H416+H419</f>
        <v>7327.2</v>
      </c>
    </row>
    <row r="416" spans="1:10" ht="25.5">
      <c r="A416" s="25" t="s">
        <v>104</v>
      </c>
      <c r="B416" s="4" t="s">
        <v>6</v>
      </c>
      <c r="C416" s="4" t="s">
        <v>43</v>
      </c>
      <c r="D416" s="4" t="s">
        <v>28</v>
      </c>
      <c r="E416" s="4" t="s">
        <v>292</v>
      </c>
      <c r="F416" s="4"/>
      <c r="G416" s="5">
        <f>G417+G418</f>
        <v>1434</v>
      </c>
      <c r="H416" s="5">
        <f>H417+H418</f>
        <v>1434</v>
      </c>
    </row>
    <row r="417" spans="1:8" ht="25.5">
      <c r="A417" s="14" t="s">
        <v>140</v>
      </c>
      <c r="B417" s="6" t="s">
        <v>6</v>
      </c>
      <c r="C417" s="6" t="s">
        <v>43</v>
      </c>
      <c r="D417" s="6" t="s">
        <v>28</v>
      </c>
      <c r="E417" s="6" t="s">
        <v>292</v>
      </c>
      <c r="F417" s="6" t="s">
        <v>73</v>
      </c>
      <c r="G417" s="20">
        <v>1101.4000000000001</v>
      </c>
      <c r="H417" s="20">
        <v>1101.4000000000001</v>
      </c>
    </row>
    <row r="418" spans="1:8" ht="38.25">
      <c r="A418" s="14" t="s">
        <v>141</v>
      </c>
      <c r="B418" s="6" t="s">
        <v>6</v>
      </c>
      <c r="C418" s="6" t="s">
        <v>43</v>
      </c>
      <c r="D418" s="6" t="s">
        <v>28</v>
      </c>
      <c r="E418" s="6" t="s">
        <v>292</v>
      </c>
      <c r="F418" s="6" t="s">
        <v>134</v>
      </c>
      <c r="G418" s="20">
        <v>332.6</v>
      </c>
      <c r="H418" s="20">
        <v>332.6</v>
      </c>
    </row>
    <row r="419" spans="1:8" ht="25.5">
      <c r="A419" s="30" t="s">
        <v>9</v>
      </c>
      <c r="B419" s="4" t="s">
        <v>6</v>
      </c>
      <c r="C419" s="4" t="s">
        <v>43</v>
      </c>
      <c r="D419" s="4" t="s">
        <v>28</v>
      </c>
      <c r="E419" s="4" t="s">
        <v>293</v>
      </c>
      <c r="F419" s="4"/>
      <c r="G419" s="89">
        <f>SUM(G420:G424)</f>
        <v>5893.2</v>
      </c>
      <c r="H419" s="89">
        <f>SUM(H420:H424)</f>
        <v>5893.2</v>
      </c>
    </row>
    <row r="420" spans="1:8">
      <c r="A420" s="38" t="s">
        <v>236</v>
      </c>
      <c r="B420" s="6" t="s">
        <v>6</v>
      </c>
      <c r="C420" s="6" t="s">
        <v>43</v>
      </c>
      <c r="D420" s="6" t="s">
        <v>28</v>
      </c>
      <c r="E420" s="6" t="s">
        <v>293</v>
      </c>
      <c r="F420" s="6" t="s">
        <v>107</v>
      </c>
      <c r="G420" s="85">
        <v>3946.4</v>
      </c>
      <c r="H420" s="85">
        <v>3946.4</v>
      </c>
    </row>
    <row r="421" spans="1:8" ht="38.25">
      <c r="A421" s="14" t="s">
        <v>238</v>
      </c>
      <c r="B421" s="6" t="s">
        <v>6</v>
      </c>
      <c r="C421" s="6" t="s">
        <v>43</v>
      </c>
      <c r="D421" s="6" t="s">
        <v>28</v>
      </c>
      <c r="E421" s="6" t="s">
        <v>293</v>
      </c>
      <c r="F421" s="6" t="s">
        <v>158</v>
      </c>
      <c r="G421" s="85">
        <v>1191.8</v>
      </c>
      <c r="H421" s="85">
        <v>1191.8</v>
      </c>
    </row>
    <row r="422" spans="1:8" ht="25.5">
      <c r="A422" s="15" t="s">
        <v>477</v>
      </c>
      <c r="B422" s="6" t="s">
        <v>6</v>
      </c>
      <c r="C422" s="6" t="s">
        <v>43</v>
      </c>
      <c r="D422" s="6" t="s">
        <v>28</v>
      </c>
      <c r="E422" s="6" t="s">
        <v>293</v>
      </c>
      <c r="F422" s="6" t="s">
        <v>75</v>
      </c>
      <c r="G422" s="85">
        <v>250</v>
      </c>
      <c r="H422" s="85">
        <v>250</v>
      </c>
    </row>
    <row r="423" spans="1:8" ht="25.5">
      <c r="A423" s="15" t="s">
        <v>105</v>
      </c>
      <c r="B423" s="6" t="s">
        <v>6</v>
      </c>
      <c r="C423" s="6" t="s">
        <v>43</v>
      </c>
      <c r="D423" s="6" t="s">
        <v>28</v>
      </c>
      <c r="E423" s="6" t="s">
        <v>293</v>
      </c>
      <c r="F423" s="6" t="s">
        <v>77</v>
      </c>
      <c r="G423" s="85">
        <v>500</v>
      </c>
      <c r="H423" s="85">
        <v>500</v>
      </c>
    </row>
    <row r="424" spans="1:8">
      <c r="A424" s="14" t="s">
        <v>159</v>
      </c>
      <c r="B424" s="6" t="s">
        <v>6</v>
      </c>
      <c r="C424" s="6" t="s">
        <v>43</v>
      </c>
      <c r="D424" s="6" t="s">
        <v>28</v>
      </c>
      <c r="E424" s="6" t="s">
        <v>293</v>
      </c>
      <c r="F424" s="6" t="s">
        <v>80</v>
      </c>
      <c r="G424" s="20">
        <v>5</v>
      </c>
      <c r="H424" s="20">
        <v>5</v>
      </c>
    </row>
    <row r="425" spans="1:8" ht="25.5">
      <c r="A425" s="49" t="s">
        <v>2</v>
      </c>
      <c r="B425" s="50" t="s">
        <v>3</v>
      </c>
      <c r="C425" s="50"/>
      <c r="D425" s="50"/>
      <c r="E425" s="50"/>
      <c r="F425" s="50"/>
      <c r="G425" s="51">
        <f>G426</f>
        <v>4516.8</v>
      </c>
      <c r="H425" s="51">
        <f>H426</f>
        <v>4516.8</v>
      </c>
    </row>
    <row r="426" spans="1:8">
      <c r="A426" s="22" t="s">
        <v>85</v>
      </c>
      <c r="B426" s="9" t="s">
        <v>3</v>
      </c>
      <c r="C426" s="9" t="s">
        <v>26</v>
      </c>
      <c r="D426" s="9"/>
      <c r="E426" s="9"/>
      <c r="F426" s="9"/>
      <c r="G426" s="52">
        <f>G427+G447</f>
        <v>4516.8</v>
      </c>
      <c r="H426" s="52">
        <f>H427+H447</f>
        <v>4516.8</v>
      </c>
    </row>
    <row r="427" spans="1:8" ht="13.5">
      <c r="A427" s="24" t="s">
        <v>16</v>
      </c>
      <c r="B427" s="13" t="s">
        <v>3</v>
      </c>
      <c r="C427" s="8" t="s">
        <v>26</v>
      </c>
      <c r="D427" s="8" t="s">
        <v>28</v>
      </c>
      <c r="E427" s="8"/>
      <c r="F427" s="8"/>
      <c r="G427" s="53">
        <f>G432+G428</f>
        <v>4116.8</v>
      </c>
      <c r="H427" s="53">
        <f>H432+H428</f>
        <v>4116.8</v>
      </c>
    </row>
    <row r="428" spans="1:8" ht="38.25">
      <c r="A428" s="40" t="s">
        <v>442</v>
      </c>
      <c r="B428" s="10" t="s">
        <v>3</v>
      </c>
      <c r="C428" s="10" t="s">
        <v>26</v>
      </c>
      <c r="D428" s="10" t="s">
        <v>28</v>
      </c>
      <c r="E428" s="10" t="s">
        <v>360</v>
      </c>
      <c r="F428" s="10"/>
      <c r="G428" s="54">
        <f>G429</f>
        <v>100</v>
      </c>
      <c r="H428" s="54">
        <f>H429</f>
        <v>100</v>
      </c>
    </row>
    <row r="429" spans="1:8" ht="38.25">
      <c r="A429" s="16" t="s">
        <v>0</v>
      </c>
      <c r="B429" s="4" t="s">
        <v>3</v>
      </c>
      <c r="C429" s="4" t="s">
        <v>26</v>
      </c>
      <c r="D429" s="4" t="s">
        <v>28</v>
      </c>
      <c r="E429" s="100" t="s">
        <v>406</v>
      </c>
      <c r="F429" s="4"/>
      <c r="G429" s="5">
        <f t="shared" ref="G429:H430" si="29">G430</f>
        <v>100</v>
      </c>
      <c r="H429" s="5">
        <f t="shared" si="29"/>
        <v>100</v>
      </c>
    </row>
    <row r="430" spans="1:8" ht="25.5">
      <c r="A430" s="16" t="s">
        <v>128</v>
      </c>
      <c r="B430" s="4" t="s">
        <v>3</v>
      </c>
      <c r="C430" s="4" t="s">
        <v>26</v>
      </c>
      <c r="D430" s="4" t="s">
        <v>28</v>
      </c>
      <c r="E430" s="100" t="s">
        <v>407</v>
      </c>
      <c r="F430" s="4"/>
      <c r="G430" s="5">
        <f t="shared" si="29"/>
        <v>100</v>
      </c>
      <c r="H430" s="5">
        <f t="shared" si="29"/>
        <v>100</v>
      </c>
    </row>
    <row r="431" spans="1:8" ht="25.5">
      <c r="A431" s="14" t="s">
        <v>76</v>
      </c>
      <c r="B431" s="6" t="s">
        <v>3</v>
      </c>
      <c r="C431" s="6" t="s">
        <v>26</v>
      </c>
      <c r="D431" s="6" t="s">
        <v>28</v>
      </c>
      <c r="E431" s="94" t="s">
        <v>407</v>
      </c>
      <c r="F431" s="6" t="s">
        <v>77</v>
      </c>
      <c r="G431" s="20">
        <v>100</v>
      </c>
      <c r="H431" s="20">
        <v>100</v>
      </c>
    </row>
    <row r="432" spans="1:8">
      <c r="A432" s="40" t="s">
        <v>118</v>
      </c>
      <c r="B432" s="10" t="s">
        <v>3</v>
      </c>
      <c r="C432" s="10" t="s">
        <v>26</v>
      </c>
      <c r="D432" s="10" t="s">
        <v>28</v>
      </c>
      <c r="E432" s="10" t="s">
        <v>142</v>
      </c>
      <c r="F432" s="10"/>
      <c r="G432" s="54">
        <f>G433+G435+G438+G440+G443</f>
        <v>4016.8</v>
      </c>
      <c r="H432" s="54">
        <f>H433+H435+H438+H440+H443</f>
        <v>4016.8</v>
      </c>
    </row>
    <row r="433" spans="1:10" ht="25.5">
      <c r="A433" s="31" t="s">
        <v>69</v>
      </c>
      <c r="B433" s="4" t="s">
        <v>3</v>
      </c>
      <c r="C433" s="4" t="s">
        <v>26</v>
      </c>
      <c r="D433" s="4" t="s">
        <v>28</v>
      </c>
      <c r="E433" s="4" t="s">
        <v>163</v>
      </c>
      <c r="F433" s="4"/>
      <c r="G433" s="89">
        <f>G434</f>
        <v>136</v>
      </c>
      <c r="H433" s="89">
        <f>H434</f>
        <v>136</v>
      </c>
    </row>
    <row r="434" spans="1:10" ht="51">
      <c r="A434" s="19" t="s">
        <v>369</v>
      </c>
      <c r="B434" s="6" t="s">
        <v>3</v>
      </c>
      <c r="C434" s="6" t="s">
        <v>26</v>
      </c>
      <c r="D434" s="6" t="s">
        <v>28</v>
      </c>
      <c r="E434" s="6" t="s">
        <v>163</v>
      </c>
      <c r="F434" s="6" t="s">
        <v>368</v>
      </c>
      <c r="G434" s="85">
        <v>136</v>
      </c>
      <c r="H434" s="85">
        <v>136</v>
      </c>
      <c r="I434" s="1">
        <v>136</v>
      </c>
      <c r="J434" s="1">
        <v>136</v>
      </c>
    </row>
    <row r="435" spans="1:10" ht="51">
      <c r="A435" s="29" t="s">
        <v>112</v>
      </c>
      <c r="B435" s="4" t="s">
        <v>3</v>
      </c>
      <c r="C435" s="4" t="s">
        <v>26</v>
      </c>
      <c r="D435" s="4" t="s">
        <v>28</v>
      </c>
      <c r="E435" s="4" t="s">
        <v>164</v>
      </c>
      <c r="F435" s="4"/>
      <c r="G435" s="89">
        <f>G436+G437</f>
        <v>1.8</v>
      </c>
      <c r="H435" s="89">
        <f>H436+H437</f>
        <v>1.8</v>
      </c>
      <c r="I435" s="1">
        <v>1.8</v>
      </c>
      <c r="J435" s="1">
        <v>1.8</v>
      </c>
    </row>
    <row r="436" spans="1:10" ht="25.5">
      <c r="A436" s="36" t="s">
        <v>140</v>
      </c>
      <c r="B436" s="6" t="s">
        <v>3</v>
      </c>
      <c r="C436" s="6" t="s">
        <v>26</v>
      </c>
      <c r="D436" s="6" t="s">
        <v>28</v>
      </c>
      <c r="E436" s="6" t="s">
        <v>164</v>
      </c>
      <c r="F436" s="6" t="s">
        <v>73</v>
      </c>
      <c r="G436" s="85">
        <v>1.383</v>
      </c>
      <c r="H436" s="85">
        <v>1.383</v>
      </c>
    </row>
    <row r="437" spans="1:10" ht="38.25">
      <c r="A437" s="36" t="s">
        <v>141</v>
      </c>
      <c r="B437" s="6" t="s">
        <v>3</v>
      </c>
      <c r="C437" s="6" t="s">
        <v>26</v>
      </c>
      <c r="D437" s="6" t="s">
        <v>28</v>
      </c>
      <c r="E437" s="6" t="s">
        <v>164</v>
      </c>
      <c r="F437" s="6" t="s">
        <v>134</v>
      </c>
      <c r="G437" s="85">
        <v>0.41699999999999998</v>
      </c>
      <c r="H437" s="85">
        <v>0.41699999999999998</v>
      </c>
    </row>
    <row r="438" spans="1:10" ht="51">
      <c r="A438" s="31" t="s">
        <v>273</v>
      </c>
      <c r="B438" s="4" t="s">
        <v>3</v>
      </c>
      <c r="C438" s="4" t="s">
        <v>26</v>
      </c>
      <c r="D438" s="4" t="s">
        <v>28</v>
      </c>
      <c r="E438" s="4" t="s">
        <v>274</v>
      </c>
      <c r="F438" s="4"/>
      <c r="G438" s="89">
        <f>G439</f>
        <v>151.5</v>
      </c>
      <c r="H438" s="89">
        <f>H439</f>
        <v>151.5</v>
      </c>
    </row>
    <row r="439" spans="1:10" ht="28.5" customHeight="1">
      <c r="A439" s="36" t="s">
        <v>352</v>
      </c>
      <c r="B439" s="6" t="s">
        <v>3</v>
      </c>
      <c r="C439" s="6" t="s">
        <v>26</v>
      </c>
      <c r="D439" s="6" t="s">
        <v>28</v>
      </c>
      <c r="E439" s="6" t="s">
        <v>274</v>
      </c>
      <c r="F439" s="6" t="s">
        <v>351</v>
      </c>
      <c r="G439" s="85">
        <v>151.5</v>
      </c>
      <c r="H439" s="85">
        <v>151.5</v>
      </c>
      <c r="I439" s="1">
        <v>151.5</v>
      </c>
      <c r="J439" s="1">
        <v>151.5</v>
      </c>
    </row>
    <row r="440" spans="1:10" ht="51">
      <c r="A440" s="31" t="s">
        <v>275</v>
      </c>
      <c r="B440" s="4" t="s">
        <v>3</v>
      </c>
      <c r="C440" s="4" t="s">
        <v>26</v>
      </c>
      <c r="D440" s="4" t="s">
        <v>28</v>
      </c>
      <c r="E440" s="4" t="s">
        <v>276</v>
      </c>
      <c r="F440" s="4"/>
      <c r="G440" s="89">
        <f>G441+G442</f>
        <v>22.7</v>
      </c>
      <c r="H440" s="89">
        <f>H441+H442</f>
        <v>22.7</v>
      </c>
      <c r="I440" s="1">
        <v>22.7</v>
      </c>
      <c r="J440" s="1">
        <v>22.7</v>
      </c>
    </row>
    <row r="441" spans="1:10">
      <c r="A441" s="38" t="s">
        <v>236</v>
      </c>
      <c r="B441" s="6" t="s">
        <v>3</v>
      </c>
      <c r="C441" s="6" t="s">
        <v>26</v>
      </c>
      <c r="D441" s="6" t="s">
        <v>28</v>
      </c>
      <c r="E441" s="6" t="s">
        <v>276</v>
      </c>
      <c r="F441" s="6" t="s">
        <v>107</v>
      </c>
      <c r="G441" s="85">
        <v>17.399999999999999</v>
      </c>
      <c r="H441" s="85">
        <v>17.399999999999999</v>
      </c>
    </row>
    <row r="442" spans="1:10" ht="38.25">
      <c r="A442" s="14" t="s">
        <v>238</v>
      </c>
      <c r="B442" s="6" t="s">
        <v>3</v>
      </c>
      <c r="C442" s="6" t="s">
        <v>26</v>
      </c>
      <c r="D442" s="6" t="s">
        <v>28</v>
      </c>
      <c r="E442" s="6" t="s">
        <v>276</v>
      </c>
      <c r="F442" s="6" t="s">
        <v>158</v>
      </c>
      <c r="G442" s="85">
        <v>5.3</v>
      </c>
      <c r="H442" s="85">
        <v>5.3</v>
      </c>
    </row>
    <row r="443" spans="1:10" ht="25.5">
      <c r="A443" s="37" t="s">
        <v>114</v>
      </c>
      <c r="B443" s="10" t="s">
        <v>3</v>
      </c>
      <c r="C443" s="10" t="s">
        <v>26</v>
      </c>
      <c r="D443" s="10" t="s">
        <v>28</v>
      </c>
      <c r="E443" s="10" t="s">
        <v>156</v>
      </c>
      <c r="F443" s="10"/>
      <c r="G443" s="54">
        <f>G444</f>
        <v>3704.8</v>
      </c>
      <c r="H443" s="54">
        <f>H444</f>
        <v>3704.8</v>
      </c>
    </row>
    <row r="444" spans="1:10" ht="25.5">
      <c r="A444" s="30" t="s">
        <v>4</v>
      </c>
      <c r="B444" s="4" t="s">
        <v>3</v>
      </c>
      <c r="C444" s="4" t="s">
        <v>26</v>
      </c>
      <c r="D444" s="4" t="s">
        <v>28</v>
      </c>
      <c r="E444" s="4" t="s">
        <v>5</v>
      </c>
      <c r="F444" s="4"/>
      <c r="G444" s="5">
        <f>SUM(G445:G446)</f>
        <v>3704.8</v>
      </c>
      <c r="H444" s="5">
        <f>SUM(H445:H446)</f>
        <v>3704.8</v>
      </c>
    </row>
    <row r="445" spans="1:10">
      <c r="A445" s="38" t="s">
        <v>236</v>
      </c>
      <c r="B445" s="6" t="s">
        <v>3</v>
      </c>
      <c r="C445" s="6" t="s">
        <v>26</v>
      </c>
      <c r="D445" s="6" t="s">
        <v>28</v>
      </c>
      <c r="E445" s="6" t="s">
        <v>5</v>
      </c>
      <c r="F445" s="6" t="s">
        <v>107</v>
      </c>
      <c r="G445" s="20">
        <v>2845.5</v>
      </c>
      <c r="H445" s="20">
        <v>2845.5</v>
      </c>
    </row>
    <row r="446" spans="1:10" ht="38.25">
      <c r="A446" s="14" t="s">
        <v>238</v>
      </c>
      <c r="B446" s="6" t="s">
        <v>3</v>
      </c>
      <c r="C446" s="6" t="s">
        <v>26</v>
      </c>
      <c r="D446" s="6" t="s">
        <v>28</v>
      </c>
      <c r="E446" s="6" t="s">
        <v>5</v>
      </c>
      <c r="F446" s="6" t="s">
        <v>158</v>
      </c>
      <c r="G446" s="20">
        <v>859.3</v>
      </c>
      <c r="H446" s="20">
        <v>859.3</v>
      </c>
    </row>
    <row r="447" spans="1:10">
      <c r="A447" s="24" t="s">
        <v>66</v>
      </c>
      <c r="B447" s="8" t="s">
        <v>3</v>
      </c>
      <c r="C447" s="8" t="s">
        <v>26</v>
      </c>
      <c r="D447" s="8" t="s">
        <v>44</v>
      </c>
      <c r="E447" s="8"/>
      <c r="F447" s="8"/>
      <c r="G447" s="53">
        <f>G448</f>
        <v>400</v>
      </c>
      <c r="H447" s="53">
        <f>H448</f>
        <v>400</v>
      </c>
    </row>
    <row r="448" spans="1:10" ht="51">
      <c r="A448" s="66" t="s">
        <v>451</v>
      </c>
      <c r="B448" s="7" t="s">
        <v>3</v>
      </c>
      <c r="C448" s="10" t="s">
        <v>26</v>
      </c>
      <c r="D448" s="10" t="s">
        <v>44</v>
      </c>
      <c r="E448" s="10" t="s">
        <v>425</v>
      </c>
      <c r="F448" s="7"/>
      <c r="G448" s="44">
        <f t="shared" ref="G448:H450" si="30">G449</f>
        <v>400</v>
      </c>
      <c r="H448" s="44">
        <f t="shared" si="30"/>
        <v>400</v>
      </c>
    </row>
    <row r="449" spans="1:10" ht="38.25">
      <c r="A449" s="29" t="s">
        <v>230</v>
      </c>
      <c r="B449" s="4" t="s">
        <v>3</v>
      </c>
      <c r="C449" s="4" t="s">
        <v>26</v>
      </c>
      <c r="D449" s="4" t="s">
        <v>44</v>
      </c>
      <c r="E449" s="4" t="s">
        <v>426</v>
      </c>
      <c r="F449" s="4"/>
      <c r="G449" s="5">
        <f t="shared" si="30"/>
        <v>400</v>
      </c>
      <c r="H449" s="5">
        <f t="shared" si="30"/>
        <v>400</v>
      </c>
    </row>
    <row r="450" spans="1:10" ht="25.5">
      <c r="A450" s="30" t="s">
        <v>244</v>
      </c>
      <c r="B450" s="4" t="s">
        <v>3</v>
      </c>
      <c r="C450" s="4" t="s">
        <v>26</v>
      </c>
      <c r="D450" s="4" t="s">
        <v>44</v>
      </c>
      <c r="E450" s="4" t="s">
        <v>427</v>
      </c>
      <c r="F450" s="4"/>
      <c r="G450" s="5">
        <f t="shared" si="30"/>
        <v>400</v>
      </c>
      <c r="H450" s="5">
        <f t="shared" si="30"/>
        <v>400</v>
      </c>
    </row>
    <row r="451" spans="1:10" ht="25.5">
      <c r="A451" s="36" t="s">
        <v>76</v>
      </c>
      <c r="B451" s="6" t="s">
        <v>3</v>
      </c>
      <c r="C451" s="6" t="s">
        <v>26</v>
      </c>
      <c r="D451" s="6" t="s">
        <v>44</v>
      </c>
      <c r="E451" s="6" t="s">
        <v>427</v>
      </c>
      <c r="F451" s="6" t="s">
        <v>77</v>
      </c>
      <c r="G451" s="20">
        <v>400</v>
      </c>
      <c r="H451" s="20">
        <v>400</v>
      </c>
    </row>
    <row r="452" spans="1:10" ht="38.25">
      <c r="A452" s="49" t="s">
        <v>461</v>
      </c>
      <c r="B452" s="50" t="s">
        <v>462</v>
      </c>
      <c r="C452" s="50"/>
      <c r="D452" s="50"/>
      <c r="E452" s="50"/>
      <c r="F452" s="50"/>
      <c r="G452" s="51">
        <f>G453+G460+G468+G483</f>
        <v>48341.559500000003</v>
      </c>
      <c r="H452" s="51">
        <f>H453+H460+H468+H483</f>
        <v>36289.960099999997</v>
      </c>
    </row>
    <row r="453" spans="1:10">
      <c r="A453" s="34" t="s">
        <v>82</v>
      </c>
      <c r="B453" s="9" t="s">
        <v>462</v>
      </c>
      <c r="C453" s="9" t="s">
        <v>23</v>
      </c>
      <c r="D453" s="9"/>
      <c r="E453" s="9"/>
      <c r="F453" s="9"/>
      <c r="G453" s="52">
        <f t="shared" ref="G453:H456" si="31">G454</f>
        <v>8808.8111000000008</v>
      </c>
      <c r="H453" s="52">
        <f t="shared" si="31"/>
        <v>8937.4161000000004</v>
      </c>
    </row>
    <row r="454" spans="1:10" ht="13.5">
      <c r="A454" s="24" t="s">
        <v>71</v>
      </c>
      <c r="B454" s="13" t="s">
        <v>462</v>
      </c>
      <c r="C454" s="8" t="s">
        <v>23</v>
      </c>
      <c r="D454" s="8" t="s">
        <v>60</v>
      </c>
      <c r="E454" s="8"/>
      <c r="F454" s="8"/>
      <c r="G454" s="53">
        <f t="shared" si="31"/>
        <v>8808.8111000000008</v>
      </c>
      <c r="H454" s="53">
        <f t="shared" si="31"/>
        <v>8937.4161000000004</v>
      </c>
    </row>
    <row r="455" spans="1:10">
      <c r="A455" s="18" t="s">
        <v>118</v>
      </c>
      <c r="B455" s="10" t="s">
        <v>462</v>
      </c>
      <c r="C455" s="10" t="s">
        <v>23</v>
      </c>
      <c r="D455" s="10" t="s">
        <v>60</v>
      </c>
      <c r="E455" s="10" t="s">
        <v>142</v>
      </c>
      <c r="F455" s="10"/>
      <c r="G455" s="54">
        <f t="shared" si="31"/>
        <v>8808.8111000000008</v>
      </c>
      <c r="H455" s="54">
        <f t="shared" si="31"/>
        <v>8937.4161000000004</v>
      </c>
    </row>
    <row r="456" spans="1:10" ht="25.5">
      <c r="A456" s="37" t="s">
        <v>114</v>
      </c>
      <c r="B456" s="10" t="s">
        <v>462</v>
      </c>
      <c r="C456" s="10" t="s">
        <v>23</v>
      </c>
      <c r="D456" s="10" t="s">
        <v>60</v>
      </c>
      <c r="E456" s="10" t="s">
        <v>463</v>
      </c>
      <c r="F456" s="10"/>
      <c r="G456" s="54">
        <f t="shared" si="31"/>
        <v>8808.8111000000008</v>
      </c>
      <c r="H456" s="54">
        <f t="shared" si="31"/>
        <v>8937.4161000000004</v>
      </c>
    </row>
    <row r="457" spans="1:10" ht="25.5">
      <c r="A457" s="30" t="s">
        <v>464</v>
      </c>
      <c r="B457" s="4" t="s">
        <v>462</v>
      </c>
      <c r="C457" s="4" t="s">
        <v>23</v>
      </c>
      <c r="D457" s="4" t="s">
        <v>60</v>
      </c>
      <c r="E457" s="4" t="s">
        <v>465</v>
      </c>
      <c r="F457" s="4"/>
      <c r="G457" s="5">
        <f>SUM(G458:G459)</f>
        <v>8808.8111000000008</v>
      </c>
      <c r="H457" s="5">
        <f>SUM(H458:H459)</f>
        <v>8937.4161000000004</v>
      </c>
    </row>
    <row r="458" spans="1:10">
      <c r="A458" s="38" t="s">
        <v>236</v>
      </c>
      <c r="B458" s="6" t="s">
        <v>462</v>
      </c>
      <c r="C458" s="6" t="s">
        <v>23</v>
      </c>
      <c r="D458" s="6" t="s">
        <v>60</v>
      </c>
      <c r="E458" s="6" t="s">
        <v>465</v>
      </c>
      <c r="F458" s="6" t="s">
        <v>107</v>
      </c>
      <c r="G458" s="20">
        <f>6876.8-111.2</f>
        <v>6765.6</v>
      </c>
      <c r="H458" s="20">
        <f>6876.8-12.4</f>
        <v>6864.4000000000005</v>
      </c>
    </row>
    <row r="459" spans="1:10" ht="38.25">
      <c r="A459" s="14" t="s">
        <v>238</v>
      </c>
      <c r="B459" s="6" t="s">
        <v>462</v>
      </c>
      <c r="C459" s="6" t="s">
        <v>23</v>
      </c>
      <c r="D459" s="6" t="s">
        <v>60</v>
      </c>
      <c r="E459" s="6" t="s">
        <v>465</v>
      </c>
      <c r="F459" s="6" t="s">
        <v>158</v>
      </c>
      <c r="G459" s="20">
        <f>2076.8-33.5889</f>
        <v>2043.2111000000002</v>
      </c>
      <c r="H459" s="20">
        <f>2076.8-3.7839</f>
        <v>2073.0161000000003</v>
      </c>
    </row>
    <row r="460" spans="1:10">
      <c r="A460" s="22" t="s">
        <v>85</v>
      </c>
      <c r="B460" s="9" t="s">
        <v>462</v>
      </c>
      <c r="C460" s="9" t="s">
        <v>26</v>
      </c>
      <c r="D460" s="9"/>
      <c r="E460" s="9"/>
      <c r="F460" s="9"/>
      <c r="G460" s="52">
        <f>G461</f>
        <v>1515.8000000000002</v>
      </c>
      <c r="H460" s="52">
        <f>H461</f>
        <v>1515.8000000000002</v>
      </c>
    </row>
    <row r="461" spans="1:10" ht="13.5">
      <c r="A461" s="24" t="s">
        <v>16</v>
      </c>
      <c r="B461" s="13" t="s">
        <v>462</v>
      </c>
      <c r="C461" s="8" t="s">
        <v>26</v>
      </c>
      <c r="D461" s="8" t="s">
        <v>28</v>
      </c>
      <c r="E461" s="24"/>
      <c r="F461" s="24"/>
      <c r="G461" s="53">
        <f>G462</f>
        <v>1515.8000000000002</v>
      </c>
      <c r="H461" s="53">
        <f>H462</f>
        <v>1515.8000000000002</v>
      </c>
    </row>
    <row r="462" spans="1:10">
      <c r="A462" s="40" t="s">
        <v>118</v>
      </c>
      <c r="B462" s="10" t="s">
        <v>462</v>
      </c>
      <c r="C462" s="10" t="s">
        <v>26</v>
      </c>
      <c r="D462" s="10" t="s">
        <v>28</v>
      </c>
      <c r="E462" s="10" t="s">
        <v>142</v>
      </c>
      <c r="F462" s="40"/>
      <c r="G462" s="75">
        <f>G463+G466</f>
        <v>1515.8000000000002</v>
      </c>
      <c r="H462" s="75">
        <f>H463+H466</f>
        <v>1515.8000000000002</v>
      </c>
    </row>
    <row r="463" spans="1:10" ht="51">
      <c r="A463" s="30" t="s">
        <v>249</v>
      </c>
      <c r="B463" s="4" t="s">
        <v>462</v>
      </c>
      <c r="C463" s="4" t="s">
        <v>26</v>
      </c>
      <c r="D463" s="4" t="s">
        <v>28</v>
      </c>
      <c r="E463" s="4" t="s">
        <v>262</v>
      </c>
      <c r="F463" s="4"/>
      <c r="G463" s="89">
        <f>SUM(G464:G465)</f>
        <v>22.4</v>
      </c>
      <c r="H463" s="89">
        <f>SUM(H464:H465)</f>
        <v>22.4</v>
      </c>
      <c r="I463" s="1">
        <v>22.4</v>
      </c>
      <c r="J463" s="1">
        <v>22.4</v>
      </c>
    </row>
    <row r="464" spans="1:10">
      <c r="A464" s="38" t="s">
        <v>236</v>
      </c>
      <c r="B464" s="6" t="s">
        <v>462</v>
      </c>
      <c r="C464" s="6" t="s">
        <v>26</v>
      </c>
      <c r="D464" s="6" t="s">
        <v>28</v>
      </c>
      <c r="E464" s="6" t="s">
        <v>262</v>
      </c>
      <c r="F464" s="6" t="s">
        <v>107</v>
      </c>
      <c r="G464" s="85">
        <v>17.2</v>
      </c>
      <c r="H464" s="85">
        <v>17.2</v>
      </c>
    </row>
    <row r="465" spans="1:10" ht="38.25">
      <c r="A465" s="14" t="s">
        <v>238</v>
      </c>
      <c r="B465" s="6" t="s">
        <v>462</v>
      </c>
      <c r="C465" s="6" t="s">
        <v>26</v>
      </c>
      <c r="D465" s="6" t="s">
        <v>28</v>
      </c>
      <c r="E465" s="6" t="s">
        <v>262</v>
      </c>
      <c r="F465" s="6" t="s">
        <v>158</v>
      </c>
      <c r="G465" s="85">
        <v>5.2</v>
      </c>
      <c r="H465" s="85">
        <v>5.2</v>
      </c>
    </row>
    <row r="466" spans="1:10" ht="51">
      <c r="A466" s="31" t="s">
        <v>248</v>
      </c>
      <c r="B466" s="4" t="s">
        <v>462</v>
      </c>
      <c r="C466" s="4" t="s">
        <v>26</v>
      </c>
      <c r="D466" s="4" t="s">
        <v>28</v>
      </c>
      <c r="E466" s="4" t="s">
        <v>261</v>
      </c>
      <c r="F466" s="4"/>
      <c r="G466" s="89">
        <f>G467</f>
        <v>1493.4</v>
      </c>
      <c r="H466" s="89">
        <f>H467</f>
        <v>1493.4</v>
      </c>
      <c r="I466" s="1">
        <v>1493.4</v>
      </c>
      <c r="J466" s="1">
        <v>1493.4</v>
      </c>
    </row>
    <row r="467" spans="1:10" ht="25.5">
      <c r="A467" s="19" t="s">
        <v>128</v>
      </c>
      <c r="B467" s="6" t="s">
        <v>462</v>
      </c>
      <c r="C467" s="6" t="s">
        <v>26</v>
      </c>
      <c r="D467" s="6" t="s">
        <v>28</v>
      </c>
      <c r="E467" s="6" t="s">
        <v>261</v>
      </c>
      <c r="F467" s="6" t="s">
        <v>77</v>
      </c>
      <c r="G467" s="85">
        <v>1493.4</v>
      </c>
      <c r="H467" s="85">
        <v>1493.4</v>
      </c>
    </row>
    <row r="468" spans="1:10">
      <c r="A468" s="34" t="s">
        <v>98</v>
      </c>
      <c r="B468" s="9" t="s">
        <v>462</v>
      </c>
      <c r="C468" s="9" t="s">
        <v>28</v>
      </c>
      <c r="D468" s="9"/>
      <c r="E468" s="9"/>
      <c r="F468" s="9"/>
      <c r="G468" s="52">
        <f>G474+G469</f>
        <v>26520.026000000002</v>
      </c>
      <c r="H468" s="52">
        <f>H474+H469</f>
        <v>25836.743999999999</v>
      </c>
    </row>
    <row r="469" spans="1:10">
      <c r="A469" s="28" t="s">
        <v>402</v>
      </c>
      <c r="B469" s="8" t="s">
        <v>462</v>
      </c>
      <c r="C469" s="8" t="s">
        <v>28</v>
      </c>
      <c r="D469" s="8" t="s">
        <v>25</v>
      </c>
      <c r="E469" s="8"/>
      <c r="F469" s="8"/>
      <c r="G469" s="53">
        <f>G472</f>
        <v>750</v>
      </c>
      <c r="H469" s="53">
        <f>H472</f>
        <v>750</v>
      </c>
    </row>
    <row r="470" spans="1:10" ht="25.5">
      <c r="A470" s="112" t="s">
        <v>466</v>
      </c>
      <c r="B470" s="96" t="s">
        <v>462</v>
      </c>
      <c r="C470" s="10" t="s">
        <v>28</v>
      </c>
      <c r="D470" s="10" t="s">
        <v>25</v>
      </c>
      <c r="E470" s="10" t="s">
        <v>467</v>
      </c>
      <c r="F470" s="10"/>
      <c r="G470" s="54">
        <f>G471</f>
        <v>750</v>
      </c>
      <c r="H470" s="54">
        <f>H471</f>
        <v>750</v>
      </c>
    </row>
    <row r="471" spans="1:10" ht="25.5">
      <c r="A471" s="113" t="s">
        <v>468</v>
      </c>
      <c r="B471" s="100" t="s">
        <v>462</v>
      </c>
      <c r="C471" s="4" t="s">
        <v>28</v>
      </c>
      <c r="D471" s="4" t="s">
        <v>25</v>
      </c>
      <c r="E471" s="4" t="s">
        <v>469</v>
      </c>
      <c r="F471" s="4"/>
      <c r="G471" s="5">
        <f>G472</f>
        <v>750</v>
      </c>
      <c r="H471" s="5">
        <f>H472</f>
        <v>750</v>
      </c>
    </row>
    <row r="472" spans="1:10" s="41" customFormat="1" ht="24.75" customHeight="1">
      <c r="A472" s="16" t="s">
        <v>128</v>
      </c>
      <c r="B472" s="114" t="s">
        <v>462</v>
      </c>
      <c r="C472" s="4" t="s">
        <v>28</v>
      </c>
      <c r="D472" s="4" t="s">
        <v>25</v>
      </c>
      <c r="E472" s="4" t="s">
        <v>470</v>
      </c>
      <c r="F472" s="4"/>
      <c r="G472" s="5">
        <f>SUM(G473:G473)</f>
        <v>750</v>
      </c>
      <c r="H472" s="5">
        <f>SUM(H473:H473)</f>
        <v>750</v>
      </c>
    </row>
    <row r="473" spans="1:10" s="41" customFormat="1" ht="25.5">
      <c r="A473" s="36" t="s">
        <v>76</v>
      </c>
      <c r="B473" s="115" t="s">
        <v>462</v>
      </c>
      <c r="C473" s="6" t="s">
        <v>28</v>
      </c>
      <c r="D473" s="6" t="s">
        <v>25</v>
      </c>
      <c r="E473" s="6" t="s">
        <v>470</v>
      </c>
      <c r="F473" s="6" t="s">
        <v>77</v>
      </c>
      <c r="G473" s="20">
        <v>750</v>
      </c>
      <c r="H473" s="20">
        <v>750</v>
      </c>
    </row>
    <row r="474" spans="1:10">
      <c r="A474" s="28" t="s">
        <v>12</v>
      </c>
      <c r="B474" s="8" t="s">
        <v>462</v>
      </c>
      <c r="C474" s="8" t="s">
        <v>28</v>
      </c>
      <c r="D474" s="8" t="s">
        <v>38</v>
      </c>
      <c r="E474" s="8"/>
      <c r="F474" s="8"/>
      <c r="G474" s="53">
        <f>G479+G475</f>
        <v>25770.026000000002</v>
      </c>
      <c r="H474" s="53">
        <f>H479+H475</f>
        <v>25086.743999999999</v>
      </c>
    </row>
    <row r="475" spans="1:10" ht="38.25">
      <c r="A475" s="66" t="s">
        <v>487</v>
      </c>
      <c r="B475" s="7" t="s">
        <v>462</v>
      </c>
      <c r="C475" s="10" t="s">
        <v>28</v>
      </c>
      <c r="D475" s="10" t="s">
        <v>38</v>
      </c>
      <c r="E475" s="10" t="s">
        <v>488</v>
      </c>
      <c r="F475" s="10"/>
      <c r="G475" s="54">
        <f t="shared" ref="G475:H477" si="32">G476</f>
        <v>16883.366000000002</v>
      </c>
      <c r="H475" s="54">
        <f t="shared" si="32"/>
        <v>16200.083999999999</v>
      </c>
    </row>
    <row r="476" spans="1:10" ht="25.5">
      <c r="A476" s="25" t="s">
        <v>489</v>
      </c>
      <c r="B476" s="4" t="s">
        <v>462</v>
      </c>
      <c r="C476" s="4" t="s">
        <v>28</v>
      </c>
      <c r="D476" s="4" t="s">
        <v>38</v>
      </c>
      <c r="E476" s="4" t="s">
        <v>490</v>
      </c>
      <c r="F476" s="16"/>
      <c r="G476" s="5">
        <f t="shared" si="32"/>
        <v>16883.366000000002</v>
      </c>
      <c r="H476" s="5">
        <f t="shared" si="32"/>
        <v>16200.083999999999</v>
      </c>
    </row>
    <row r="477" spans="1:10" ht="38.25">
      <c r="A477" s="25" t="s">
        <v>491</v>
      </c>
      <c r="B477" s="4" t="s">
        <v>462</v>
      </c>
      <c r="C477" s="4" t="s">
        <v>28</v>
      </c>
      <c r="D477" s="4" t="s">
        <v>38</v>
      </c>
      <c r="E477" s="4" t="s">
        <v>492</v>
      </c>
      <c r="F477" s="16"/>
      <c r="G477" s="5">
        <f t="shared" si="32"/>
        <v>16883.366000000002</v>
      </c>
      <c r="H477" s="5">
        <f t="shared" si="32"/>
        <v>16200.083999999999</v>
      </c>
    </row>
    <row r="478" spans="1:10">
      <c r="A478" s="36" t="s">
        <v>132</v>
      </c>
      <c r="B478" s="6" t="s">
        <v>462</v>
      </c>
      <c r="C478" s="6" t="s">
        <v>28</v>
      </c>
      <c r="D478" s="6" t="s">
        <v>38</v>
      </c>
      <c r="E478" s="6" t="s">
        <v>492</v>
      </c>
      <c r="F478" s="94" t="s">
        <v>84</v>
      </c>
      <c r="G478" s="85">
        <f>16866.5+16.866</f>
        <v>16883.366000000002</v>
      </c>
      <c r="H478" s="85">
        <f>16183.9+16.184</f>
        <v>16200.083999999999</v>
      </c>
      <c r="I478" s="1">
        <v>16866.5</v>
      </c>
      <c r="J478" s="1">
        <v>16183.9</v>
      </c>
    </row>
    <row r="479" spans="1:10" ht="38.25">
      <c r="A479" s="40" t="s">
        <v>471</v>
      </c>
      <c r="B479" s="7" t="s">
        <v>462</v>
      </c>
      <c r="C479" s="10" t="s">
        <v>28</v>
      </c>
      <c r="D479" s="10" t="s">
        <v>38</v>
      </c>
      <c r="E479" s="10" t="s">
        <v>414</v>
      </c>
      <c r="F479" s="10"/>
      <c r="G479" s="54">
        <f t="shared" ref="G479:H481" si="33">G480</f>
        <v>8886.66</v>
      </c>
      <c r="H479" s="54">
        <f t="shared" si="33"/>
        <v>8886.66</v>
      </c>
    </row>
    <row r="480" spans="1:10" ht="25.5">
      <c r="A480" s="16" t="s">
        <v>415</v>
      </c>
      <c r="B480" s="4" t="s">
        <v>462</v>
      </c>
      <c r="C480" s="4" t="s">
        <v>28</v>
      </c>
      <c r="D480" s="4" t="s">
        <v>38</v>
      </c>
      <c r="E480" s="4" t="s">
        <v>416</v>
      </c>
      <c r="F480" s="4"/>
      <c r="G480" s="5">
        <f t="shared" si="33"/>
        <v>8886.66</v>
      </c>
      <c r="H480" s="5">
        <f t="shared" si="33"/>
        <v>8886.66</v>
      </c>
    </row>
    <row r="481" spans="1:11" ht="25.5">
      <c r="A481" s="17" t="s">
        <v>128</v>
      </c>
      <c r="B481" s="4" t="s">
        <v>462</v>
      </c>
      <c r="C481" s="4" t="s">
        <v>28</v>
      </c>
      <c r="D481" s="4" t="s">
        <v>38</v>
      </c>
      <c r="E481" s="4" t="s">
        <v>417</v>
      </c>
      <c r="F481" s="4"/>
      <c r="G481" s="5">
        <f t="shared" si="33"/>
        <v>8886.66</v>
      </c>
      <c r="H481" s="5">
        <f t="shared" si="33"/>
        <v>8886.66</v>
      </c>
    </row>
    <row r="482" spans="1:11" ht="25.5">
      <c r="A482" s="19" t="s">
        <v>128</v>
      </c>
      <c r="B482" s="6" t="s">
        <v>462</v>
      </c>
      <c r="C482" s="6" t="s">
        <v>28</v>
      </c>
      <c r="D482" s="6" t="s">
        <v>38</v>
      </c>
      <c r="E482" s="6" t="s">
        <v>417</v>
      </c>
      <c r="F482" s="6" t="s">
        <v>77</v>
      </c>
      <c r="G482" s="20">
        <v>8886.66</v>
      </c>
      <c r="H482" s="20">
        <v>8886.66</v>
      </c>
    </row>
    <row r="483" spans="1:11">
      <c r="A483" s="22" t="s">
        <v>87</v>
      </c>
      <c r="B483" s="9" t="s">
        <v>462</v>
      </c>
      <c r="C483" s="9" t="s">
        <v>32</v>
      </c>
      <c r="D483" s="9"/>
      <c r="E483" s="9"/>
      <c r="F483" s="9"/>
      <c r="G483" s="56">
        <f t="shared" ref="G483:H487" si="34">G484</f>
        <v>11496.922399999999</v>
      </c>
      <c r="H483" s="56">
        <f t="shared" si="34"/>
        <v>0</v>
      </c>
    </row>
    <row r="484" spans="1:11">
      <c r="A484" s="28" t="s">
        <v>123</v>
      </c>
      <c r="B484" s="8" t="s">
        <v>462</v>
      </c>
      <c r="C484" s="8" t="s">
        <v>32</v>
      </c>
      <c r="D484" s="8" t="s">
        <v>38</v>
      </c>
      <c r="E484" s="8"/>
      <c r="F484" s="8"/>
      <c r="G484" s="57">
        <f t="shared" si="34"/>
        <v>11496.922399999999</v>
      </c>
      <c r="H484" s="57">
        <f t="shared" si="34"/>
        <v>0</v>
      </c>
    </row>
    <row r="485" spans="1:11" ht="38.25">
      <c r="A485" s="123" t="s">
        <v>442</v>
      </c>
      <c r="B485" s="96" t="s">
        <v>462</v>
      </c>
      <c r="C485" s="96" t="s">
        <v>32</v>
      </c>
      <c r="D485" s="96" t="s">
        <v>38</v>
      </c>
      <c r="E485" s="96" t="s">
        <v>360</v>
      </c>
      <c r="F485" s="96"/>
      <c r="G485" s="120">
        <f t="shared" si="34"/>
        <v>11496.922399999999</v>
      </c>
      <c r="H485" s="120">
        <f t="shared" si="34"/>
        <v>0</v>
      </c>
    </row>
    <row r="486" spans="1:11" ht="38.25">
      <c r="A486" s="121" t="s">
        <v>498</v>
      </c>
      <c r="B486" s="100" t="s">
        <v>462</v>
      </c>
      <c r="C486" s="100" t="s">
        <v>32</v>
      </c>
      <c r="D486" s="100" t="s">
        <v>38</v>
      </c>
      <c r="E486" s="100" t="s">
        <v>499</v>
      </c>
      <c r="F486" s="100"/>
      <c r="G486" s="89">
        <f t="shared" si="34"/>
        <v>11496.922399999999</v>
      </c>
      <c r="H486" s="89">
        <f t="shared" si="34"/>
        <v>0</v>
      </c>
    </row>
    <row r="487" spans="1:11" ht="13.5">
      <c r="A487" s="121" t="s">
        <v>496</v>
      </c>
      <c r="B487" s="100" t="s">
        <v>462</v>
      </c>
      <c r="C487" s="100" t="s">
        <v>32</v>
      </c>
      <c r="D487" s="100" t="s">
        <v>38</v>
      </c>
      <c r="E487" s="100" t="s">
        <v>500</v>
      </c>
      <c r="F487" s="122"/>
      <c r="G487" s="89">
        <f t="shared" si="34"/>
        <v>11496.922399999999</v>
      </c>
      <c r="H487" s="89">
        <f t="shared" si="34"/>
        <v>0</v>
      </c>
    </row>
    <row r="488" spans="1:11" ht="25.5">
      <c r="A488" s="19" t="s">
        <v>128</v>
      </c>
      <c r="B488" s="94" t="s">
        <v>462</v>
      </c>
      <c r="C488" s="94" t="s">
        <v>32</v>
      </c>
      <c r="D488" s="94" t="s">
        <v>38</v>
      </c>
      <c r="E488" s="94" t="s">
        <v>500</v>
      </c>
      <c r="F488" s="94" t="s">
        <v>77</v>
      </c>
      <c r="G488" s="85">
        <f>11369+127.9224</f>
        <v>11496.922399999999</v>
      </c>
      <c r="H488" s="85">
        <v>0</v>
      </c>
      <c r="I488" s="1">
        <v>11369</v>
      </c>
      <c r="J488" s="1">
        <v>0</v>
      </c>
    </row>
    <row r="489" spans="1:11" s="42" customFormat="1" ht="13.5">
      <c r="A489" s="18" t="s">
        <v>46</v>
      </c>
      <c r="B489" s="10"/>
      <c r="C489" s="10"/>
      <c r="D489" s="10"/>
      <c r="E489" s="7"/>
      <c r="F489" s="10"/>
      <c r="G489" s="107">
        <v>10052.284</v>
      </c>
      <c r="H489" s="107">
        <v>20519.223000000002</v>
      </c>
    </row>
    <row r="490" spans="1:11">
      <c r="A490" s="49" t="s">
        <v>41</v>
      </c>
      <c r="B490" s="60"/>
      <c r="C490" s="61"/>
      <c r="D490" s="61"/>
      <c r="E490" s="61"/>
      <c r="F490" s="61"/>
      <c r="G490" s="92">
        <f>G15+G28+G162+G267+G287+G314+G369+G425+G489+G452</f>
        <v>1368160.66</v>
      </c>
      <c r="H490" s="92">
        <f>H15+H28+H162+H267+H287+H314+H369+H425+H489+H452</f>
        <v>1372558.66</v>
      </c>
      <c r="I490" s="108">
        <f>SUM(I15:I489)</f>
        <v>966069.3000000004</v>
      </c>
      <c r="J490" s="108">
        <f>SUM(J15:J489)</f>
        <v>962174.20000000019</v>
      </c>
      <c r="K490" s="1" t="s">
        <v>484</v>
      </c>
    </row>
    <row r="491" spans="1:11">
      <c r="G491" s="12"/>
      <c r="H491" s="12"/>
    </row>
    <row r="492" spans="1:11">
      <c r="G492" s="93">
        <v>1368160.66</v>
      </c>
      <c r="H492" s="93">
        <v>1372558.66</v>
      </c>
      <c r="I492" s="108">
        <v>161010.9</v>
      </c>
      <c r="J492" s="108">
        <v>166002.20000000001</v>
      </c>
      <c r="K492" s="1" t="s">
        <v>482</v>
      </c>
    </row>
    <row r="493" spans="1:11">
      <c r="G493" s="88"/>
      <c r="H493" s="88"/>
      <c r="I493" s="108"/>
      <c r="J493" s="108"/>
      <c r="K493" s="1" t="s">
        <v>483</v>
      </c>
    </row>
    <row r="494" spans="1:11">
      <c r="G494" s="118">
        <f>G490-G492</f>
        <v>0</v>
      </c>
      <c r="H494" s="118">
        <f>H490-H492</f>
        <v>0</v>
      </c>
      <c r="I494" s="108">
        <f>I490+I492+I493</f>
        <v>1127080.2000000004</v>
      </c>
      <c r="J494" s="108">
        <f t="shared" ref="J494" si="35">J490+J492+J493</f>
        <v>1128176.4000000001</v>
      </c>
      <c r="K494" s="108" t="s">
        <v>476</v>
      </c>
    </row>
    <row r="495" spans="1:11">
      <c r="G495" s="79"/>
      <c r="H495" s="79"/>
    </row>
    <row r="496" spans="1:11">
      <c r="G496" s="87"/>
      <c r="H496" s="87"/>
      <c r="I496" s="117">
        <f>I494-G498</f>
        <v>0</v>
      </c>
      <c r="J496" s="117">
        <f>J494-H498</f>
        <v>0</v>
      </c>
    </row>
    <row r="497" spans="6:8">
      <c r="F497" s="1" t="s">
        <v>474</v>
      </c>
      <c r="G497" s="117">
        <v>241080.46</v>
      </c>
      <c r="H497" s="117">
        <v>244382.26</v>
      </c>
    </row>
    <row r="498" spans="6:8">
      <c r="F498" s="1" t="s">
        <v>475</v>
      </c>
      <c r="G498" s="117">
        <f>1127080+0.2</f>
        <v>1127080.2</v>
      </c>
      <c r="H498" s="117">
        <f>1123185.1+4991.3</f>
        <v>1128176.4000000001</v>
      </c>
    </row>
    <row r="499" spans="6:8">
      <c r="F499" s="1" t="s">
        <v>476</v>
      </c>
      <c r="G499" s="117">
        <f>G497+G498</f>
        <v>1368160.66</v>
      </c>
      <c r="H499" s="117">
        <f>H497+H498</f>
        <v>1372558.6600000001</v>
      </c>
    </row>
    <row r="501" spans="6:8">
      <c r="G501" s="80">
        <f>G490-G499</f>
        <v>0</v>
      </c>
      <c r="H501" s="80">
        <f>H490-H499</f>
        <v>0</v>
      </c>
    </row>
    <row r="502" spans="6:8" ht="15.75">
      <c r="G502" s="86"/>
      <c r="H502" s="86"/>
    </row>
    <row r="504" spans="6:8">
      <c r="G504" s="12"/>
      <c r="H504" s="12"/>
    </row>
  </sheetData>
  <autoFilter ref="A14:I493"/>
  <customSheetViews>
    <customSheetView guid="{EB0A41C3-EF34-4619-B9DF-F61492617999}" showPageBreaks="1" printArea="1" showAutoFilter="1" view="pageBreakPreview" topLeftCell="A387">
      <selection activeCell="I392" sqref="I392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14:I476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21:Q486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/>
    </customSheetView>
    <customSheetView guid="{E50FE2FB-E2CD-42FB-A643-54AB564D1B47}" showPageBreaks="1" printArea="1" showAutoFilter="1" view="pageBreakPreview" topLeftCell="A18">
      <selection activeCell="G372" sqref="G372:H37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21:M464"/>
    </customSheetView>
  </customSheetViews>
  <mergeCells count="6">
    <mergeCell ref="F6:H6"/>
    <mergeCell ref="C13:F13"/>
    <mergeCell ref="A13:A14"/>
    <mergeCell ref="B13:B14"/>
    <mergeCell ref="G13:H13"/>
    <mergeCell ref="A10:H10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2023-11-01T01:52:50Z</cp:lastPrinted>
  <dcterms:created xsi:type="dcterms:W3CDTF">2004-12-22T00:45:04Z</dcterms:created>
  <dcterms:modified xsi:type="dcterms:W3CDTF">2024-12-19T05:58:02Z</dcterms:modified>
</cp:coreProperties>
</file>