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8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1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0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3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6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571.xml" ContentType="application/vnd.openxmlformats-officedocument.spreadsheetml.revisionLog+xml"/>
  <Override PartName="/xl/revisions/revisionLog177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210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9 сессия 30.05.2025\№ 46  уточнение май 2025\"/>
    </mc:Choice>
  </mc:AlternateContent>
  <xr:revisionPtr revIDLastSave="0" documentId="13_ncr:81_{2DFC1436-3AB4-45F9-B85F-35EC3E465D82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Ведом.структура!$A$17:$G$465</definedName>
    <definedName name="Top" localSheetId="0">Ведом.структура!#REF!</definedName>
    <definedName name="Z_098EA3E1_9101_4828_AFF2_83F566ED8C5E_.wvu.FilterData" localSheetId="0" hidden="1">Ведом.структура!$A$17:$G$465</definedName>
    <definedName name="Z_2A2ECC92_3F44_4A00_B633_AB973A7BB2F5_.wvu.FilterData" localSheetId="0" hidden="1">Ведом.структура!$A$17:$G$465</definedName>
    <definedName name="Z_349B70D3_4B98_4522_ABAD_EA78326CCCCE_.wvu.FilterData" localSheetId="0" hidden="1">Ведом.структура!$A$17:$G$465</definedName>
    <definedName name="Z_56B399BC_7D93_4B8E_ADB3_B32B8928040D_.wvu.FilterData" localSheetId="0" hidden="1">Ведом.структура!$A$17:$G$465</definedName>
    <definedName name="Z_57D7701F_09F8_49E5_8857_D5FABC293125_.wvu.FilterData" localSheetId="0" hidden="1">Ведом.структура!$A$17:$G$456</definedName>
    <definedName name="Z_807263EF_422E_4971_BF65_1CEADE7F6559_.wvu.FilterData" localSheetId="0" hidden="1">Ведом.структура!$A$17:$G$465</definedName>
    <definedName name="Z_807263EF_422E_4971_BF65_1CEADE7F6559_.wvu.PrintArea" localSheetId="0" hidden="1">Ведом.структура!$A$5:$G$456</definedName>
    <definedName name="Z_83811ABF_8EC5_43B5_84AF_A4221CF4962C_.wvu.FilterData" localSheetId="0" hidden="1">Ведом.структура!$A$17:$G$465</definedName>
    <definedName name="Z_9522EDAB_6422_4D7D_9DC7_4778C582A4E4_.wvu.FilterData" localSheetId="0" hidden="1">Ведом.структура!$A$17:$G$465</definedName>
    <definedName name="Z_981F873F_E376_4EA1_AA6D_14FB28176FB3_.wvu.FilterData" localSheetId="0" hidden="1">Ведом.структура!$A$17:$G$465</definedName>
    <definedName name="Z_A885D026_EBCE_444E_B866_32ADA1F64482_.wvu.FilterData" localSheetId="0" hidden="1">Ведом.структура!$A$17:$G$465</definedName>
    <definedName name="Z_A9EB50DC_BC7E_40F0_8A51_0BBE6B12FA5A_.wvu.FilterData" localSheetId="0" hidden="1">Ведом.структура!$A$17:$G$465</definedName>
    <definedName name="Z_A9EB50DC_BC7E_40F0_8A51_0BBE6B12FA5A_.wvu.PrintArea" localSheetId="0" hidden="1">Ведом.структура!$A$5:$G$456</definedName>
    <definedName name="Z_B0AF3BEC_DA40_4DB3_8860_82C2A231005B_.wvu.FilterData" localSheetId="0" hidden="1">Ведом.структура!$A$17:$G$456</definedName>
    <definedName name="Z_CD2C33DB_FE2F_4ADD_A132_94B65B941AEC_.wvu.FilterData" localSheetId="0" hidden="1">Ведом.структура!$A$17:$G$465</definedName>
    <definedName name="Z_E28A75F1_964C_42CF_8876_DAF36F038C80_.wvu.FilterData" localSheetId="0" hidden="1">Ведом.структура!$A$17:$G$465</definedName>
    <definedName name="Z_E330F985_0015_4DC4_AAB2_DD1A6292743B_.wvu.FilterData" localSheetId="0" hidden="1">Ведом.структура!$A$17:$G$465</definedName>
    <definedName name="Z_E330F985_0015_4DC4_AAB2_DD1A6292743B_.wvu.PrintArea" localSheetId="0" hidden="1">Ведом.структура!$A$1:$G$456</definedName>
    <definedName name="Z_E97D42D2_9E10_4ADB_8FB1_0860F6F503F4_.wvu.FilterData" localSheetId="0" hidden="1">Ведом.структура!$A$17:$G$465</definedName>
    <definedName name="Z_E97D42D2_9E10_4ADB_8FB1_0860F6F503F4_.wvu.PrintArea" localSheetId="0" hidden="1">Ведом.структура!$A$5:$G$456</definedName>
    <definedName name="_xlnm.Print_Area" localSheetId="0">Ведом.структура!$A$5:$G$456</definedName>
  </definedNames>
  <calcPr calcId="191029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БутытоваСГ - Личное представление" guid="{A9EB50DC-BC7E-40F0-8A51-0BBE6B12FA5A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0" i="1" l="1"/>
  <c r="F240" i="1"/>
  <c r="G216" i="1"/>
  <c r="G215" i="1" s="1"/>
  <c r="F216" i="1"/>
  <c r="F215" i="1" l="1"/>
  <c r="F214" i="1" s="1"/>
  <c r="F213" i="1" s="1"/>
  <c r="G214" i="1"/>
  <c r="G213" i="1" s="1"/>
  <c r="G30" i="1" l="1"/>
  <c r="G29" i="1"/>
  <c r="F30" i="1"/>
  <c r="F29" i="1"/>
  <c r="F57" i="1"/>
  <c r="F56" i="1" s="1"/>
  <c r="F55" i="1" s="1"/>
  <c r="G57" i="1"/>
  <c r="G56" i="1" s="1"/>
  <c r="G55" i="1" s="1"/>
  <c r="G212" i="1" l="1"/>
  <c r="F212" i="1"/>
  <c r="G173" i="1"/>
  <c r="F173" i="1"/>
  <c r="G388" i="1"/>
  <c r="F388" i="1"/>
  <c r="F385" i="1"/>
  <c r="F244" i="1" l="1"/>
  <c r="G322" i="1"/>
  <c r="F322" i="1"/>
  <c r="G430" i="1" l="1"/>
  <c r="F430" i="1"/>
  <c r="G230" i="1" l="1"/>
  <c r="F230" i="1"/>
  <c r="G274" i="1"/>
  <c r="F274" i="1"/>
  <c r="G273" i="1"/>
  <c r="F273" i="1"/>
  <c r="G320" i="1"/>
  <c r="F320" i="1"/>
  <c r="G319" i="1"/>
  <c r="F319" i="1"/>
  <c r="G266" i="1"/>
  <c r="F266" i="1"/>
  <c r="G339" i="1"/>
  <c r="F339" i="1"/>
  <c r="G345" i="1"/>
  <c r="F345" i="1"/>
  <c r="G364" i="1"/>
  <c r="F364" i="1"/>
  <c r="G363" i="1"/>
  <c r="F363" i="1"/>
  <c r="G424" i="1" l="1"/>
  <c r="G423" i="1"/>
  <c r="F424" i="1"/>
  <c r="F423" i="1"/>
  <c r="G394" i="1"/>
  <c r="G393" i="1" s="1"/>
  <c r="G392" i="1" s="1"/>
  <c r="G391" i="1" s="1"/>
  <c r="G390" i="1" s="1"/>
  <c r="F394" i="1"/>
  <c r="F393" i="1" s="1"/>
  <c r="F392" i="1" s="1"/>
  <c r="F391" i="1" s="1"/>
  <c r="F390" i="1" s="1"/>
  <c r="F41" i="1" l="1"/>
  <c r="F40" i="1"/>
  <c r="F381" i="1"/>
  <c r="F380" i="1" s="1"/>
  <c r="G381" i="1"/>
  <c r="G380" i="1" s="1"/>
  <c r="G125" i="1"/>
  <c r="F125" i="1"/>
  <c r="G124" i="1"/>
  <c r="F124" i="1"/>
  <c r="G384" i="1" l="1"/>
  <c r="G383" i="1" s="1"/>
  <c r="G379" i="1" s="1"/>
  <c r="F384" i="1"/>
  <c r="F383" i="1" s="1"/>
  <c r="F379" i="1" s="1"/>
  <c r="G241" i="1"/>
  <c r="F241" i="1"/>
  <c r="G207" i="1"/>
  <c r="G206" i="1" s="1"/>
  <c r="G205" i="1" s="1"/>
  <c r="F207" i="1"/>
  <c r="F206" i="1" s="1"/>
  <c r="F205" i="1" s="1"/>
  <c r="G104" i="1" l="1"/>
  <c r="F104" i="1"/>
  <c r="G402" i="1"/>
  <c r="G401" i="1"/>
  <c r="F402" i="1"/>
  <c r="F401" i="1"/>
  <c r="G114" i="1"/>
  <c r="F114" i="1"/>
  <c r="F109" i="1" s="1"/>
  <c r="F82" i="1"/>
  <c r="F50" i="1"/>
  <c r="F39" i="1"/>
  <c r="F33" i="1"/>
  <c r="F28" i="1"/>
  <c r="F22" i="1"/>
  <c r="F440" i="1"/>
  <c r="G440" i="1"/>
  <c r="G389" i="1"/>
  <c r="F389" i="1"/>
  <c r="F362" i="1"/>
  <c r="G362" i="1"/>
  <c r="G293" i="1"/>
  <c r="F293" i="1"/>
  <c r="G289" i="1"/>
  <c r="F289" i="1"/>
  <c r="G283" i="1"/>
  <c r="F283" i="1"/>
  <c r="G276" i="1"/>
  <c r="F276" i="1"/>
  <c r="G250" i="1"/>
  <c r="F250" i="1"/>
  <c r="G248" i="1"/>
  <c r="G247" i="1" s="1"/>
  <c r="F248" i="1"/>
  <c r="F247" i="1" s="1"/>
  <c r="G246" i="1"/>
  <c r="F246" i="1"/>
  <c r="G228" i="1"/>
  <c r="G227" i="1" s="1"/>
  <c r="F228" i="1"/>
  <c r="F227" i="1" s="1"/>
  <c r="G199" i="1"/>
  <c r="G198" i="1" s="1"/>
  <c r="G197" i="1" s="1"/>
  <c r="F199" i="1"/>
  <c r="F198" i="1" s="1"/>
  <c r="F197" i="1" s="1"/>
  <c r="G202" i="1"/>
  <c r="G201" i="1" s="1"/>
  <c r="F202" i="1"/>
  <c r="F201" i="1" s="1"/>
  <c r="G175" i="1"/>
  <c r="F175" i="1"/>
  <c r="F172" i="1"/>
  <c r="G123" i="1"/>
  <c r="F123" i="1"/>
  <c r="G135" i="1"/>
  <c r="F135" i="1"/>
  <c r="F134" i="1" s="1"/>
  <c r="F127" i="1"/>
  <c r="G122" i="1"/>
  <c r="F122" i="1"/>
  <c r="G85" i="1"/>
  <c r="F85" i="1"/>
  <c r="G71" i="1"/>
  <c r="F71" i="1"/>
  <c r="G50" i="1"/>
  <c r="G28" i="1"/>
  <c r="G453" i="1"/>
  <c r="F453" i="1"/>
  <c r="G431" i="1"/>
  <c r="F431" i="1"/>
  <c r="G346" i="1"/>
  <c r="F346" i="1"/>
  <c r="G299" i="1"/>
  <c r="F299" i="1"/>
  <c r="G267" i="1"/>
  <c r="F267" i="1"/>
  <c r="G256" i="1"/>
  <c r="G255" i="1" s="1"/>
  <c r="F256" i="1"/>
  <c r="F255" i="1" s="1"/>
  <c r="G237" i="1"/>
  <c r="F237" i="1"/>
  <c r="G235" i="1"/>
  <c r="F235" i="1"/>
  <c r="G33" i="1"/>
  <c r="F81" i="1" l="1"/>
  <c r="G196" i="1"/>
  <c r="F196" i="1"/>
  <c r="F408" i="1"/>
  <c r="G408" i="1"/>
  <c r="G249" i="1"/>
  <c r="F249" i="1"/>
  <c r="F251" i="1"/>
  <c r="G251" i="1"/>
  <c r="G211" i="1" l="1"/>
  <c r="G210" i="1" s="1"/>
  <c r="G209" i="1" s="1"/>
  <c r="G204" i="1" s="1"/>
  <c r="F211" i="1"/>
  <c r="F210" i="1" s="1"/>
  <c r="F209" i="1" s="1"/>
  <c r="F204" i="1" s="1"/>
  <c r="G195" i="1" l="1"/>
  <c r="F195" i="1"/>
  <c r="G174" i="1"/>
  <c r="F174" i="1"/>
  <c r="F171" i="1" s="1"/>
  <c r="G172" i="1"/>
  <c r="G245" i="1"/>
  <c r="F245" i="1"/>
  <c r="G171" i="1" l="1"/>
  <c r="G253" i="1"/>
  <c r="F253" i="1"/>
  <c r="G418" i="1" l="1"/>
  <c r="G416" i="1" s="1"/>
  <c r="F418" i="1"/>
  <c r="F416" i="1" s="1"/>
  <c r="G350" i="1"/>
  <c r="G349" i="1" s="1"/>
  <c r="G348" i="1" s="1"/>
  <c r="F350" i="1"/>
  <c r="F349" i="1" s="1"/>
  <c r="F348" i="1" s="1"/>
  <c r="G318" i="1"/>
  <c r="F318" i="1"/>
  <c r="G134" i="1"/>
  <c r="G417" i="1" l="1"/>
  <c r="F417" i="1"/>
  <c r="G387" i="1"/>
  <c r="F387" i="1"/>
  <c r="G288" i="1"/>
  <c r="F288" i="1"/>
  <c r="F287" i="1" s="1"/>
  <c r="F286" i="1" s="1"/>
  <c r="F285" i="1" s="1"/>
  <c r="G287" i="1" l="1"/>
  <c r="G286" i="1" s="1"/>
  <c r="G285" i="1" s="1"/>
  <c r="G177" i="1"/>
  <c r="F177" i="1"/>
  <c r="F176" i="1" s="1"/>
  <c r="G176" i="1" l="1"/>
  <c r="F170" i="1"/>
  <c r="F169" i="1" s="1"/>
  <c r="F168" i="1" s="1"/>
  <c r="G170" i="1"/>
  <c r="G169" i="1" s="1"/>
  <c r="F239" i="1"/>
  <c r="G297" i="1"/>
  <c r="F297" i="1"/>
  <c r="F229" i="1"/>
  <c r="G239" i="1"/>
  <c r="G168" i="1" l="1"/>
  <c r="G229" i="1"/>
  <c r="F403" i="1" l="1"/>
  <c r="G140" i="1" l="1"/>
  <c r="G139" i="1" s="1"/>
  <c r="G138" i="1" s="1"/>
  <c r="G137" i="1" s="1"/>
  <c r="G136" i="1" s="1"/>
  <c r="F140" i="1"/>
  <c r="F139" i="1" s="1"/>
  <c r="F138" i="1" s="1"/>
  <c r="F137" i="1" s="1"/>
  <c r="F136" i="1" s="1"/>
  <c r="G22" i="1"/>
  <c r="G21" i="1" s="1"/>
  <c r="G20" i="1" s="1"/>
  <c r="G19" i="1" s="1"/>
  <c r="G39" i="1"/>
  <c r="G38" i="1" s="1"/>
  <c r="G37" i="1" s="1"/>
  <c r="G36" i="1" s="1"/>
  <c r="G44" i="1"/>
  <c r="G43" i="1" s="1"/>
  <c r="G42" i="1" s="1"/>
  <c r="G62" i="1"/>
  <c r="G60" i="1" s="1"/>
  <c r="G67" i="1"/>
  <c r="G66" i="1" s="1"/>
  <c r="G70" i="1"/>
  <c r="G69" i="1" s="1"/>
  <c r="G72" i="1"/>
  <c r="G77" i="1"/>
  <c r="G76" i="1" s="1"/>
  <c r="G75" i="1" s="1"/>
  <c r="G93" i="1"/>
  <c r="G92" i="1" s="1"/>
  <c r="G91" i="1" s="1"/>
  <c r="G97" i="1"/>
  <c r="G96" i="1" s="1"/>
  <c r="G95" i="1" s="1"/>
  <c r="G101" i="1"/>
  <c r="G100" i="1" s="1"/>
  <c r="G99" i="1" s="1"/>
  <c r="G109" i="1"/>
  <c r="G115" i="1"/>
  <c r="G121" i="1"/>
  <c r="G120" i="1" s="1"/>
  <c r="G127" i="1"/>
  <c r="G126" i="1" s="1"/>
  <c r="G82" i="1"/>
  <c r="G81" i="1" s="1"/>
  <c r="G89" i="1"/>
  <c r="G88" i="1" s="1"/>
  <c r="G49" i="1"/>
  <c r="G48" i="1" s="1"/>
  <c r="G47" i="1" s="1"/>
  <c r="G46" i="1" s="1"/>
  <c r="G182" i="1"/>
  <c r="G181" i="1" s="1"/>
  <c r="G180" i="1" s="1"/>
  <c r="G186" i="1"/>
  <c r="G185" i="1" s="1"/>
  <c r="G184" i="1" s="1"/>
  <c r="G190" i="1"/>
  <c r="G189" i="1" s="1"/>
  <c r="G188" i="1" s="1"/>
  <c r="G193" i="1"/>
  <c r="G192" i="1" s="1"/>
  <c r="G149" i="1"/>
  <c r="G151" i="1"/>
  <c r="G154" i="1"/>
  <c r="G156" i="1"/>
  <c r="G159" i="1"/>
  <c r="G161" i="1"/>
  <c r="G165" i="1"/>
  <c r="G164" i="1" s="1"/>
  <c r="G146" i="1"/>
  <c r="G145" i="1" s="1"/>
  <c r="G144" i="1" s="1"/>
  <c r="G223" i="1"/>
  <c r="G225" i="1"/>
  <c r="G243" i="1"/>
  <c r="G234" i="1" s="1"/>
  <c r="G259" i="1"/>
  <c r="G258" i="1" s="1"/>
  <c r="G272" i="1"/>
  <c r="G275" i="1"/>
  <c r="G265" i="1"/>
  <c r="G301" i="1"/>
  <c r="G292" i="1"/>
  <c r="G291" i="1" s="1"/>
  <c r="G290" i="1" s="1"/>
  <c r="G315" i="1"/>
  <c r="G313" i="1"/>
  <c r="G308" i="1"/>
  <c r="G307" i="1" s="1"/>
  <c r="G306" i="1" s="1"/>
  <c r="G328" i="1"/>
  <c r="G327" i="1" s="1"/>
  <c r="G331" i="1"/>
  <c r="G330" i="1" s="1"/>
  <c r="G282" i="1"/>
  <c r="G280" i="1" s="1"/>
  <c r="G279" i="1" s="1"/>
  <c r="G278" i="1" s="1"/>
  <c r="G344" i="1"/>
  <c r="G340" i="1"/>
  <c r="G338" i="1"/>
  <c r="G353" i="1"/>
  <c r="G352" i="1" s="1"/>
  <c r="G359" i="1"/>
  <c r="G358" i="1" s="1"/>
  <c r="G370" i="1"/>
  <c r="G369" i="1" s="1"/>
  <c r="G368" i="1" s="1"/>
  <c r="G376" i="1"/>
  <c r="G375" i="1" s="1"/>
  <c r="G374" i="1" s="1"/>
  <c r="G373" i="1" s="1"/>
  <c r="G386" i="1"/>
  <c r="G378" i="1" s="1"/>
  <c r="G398" i="1"/>
  <c r="G403" i="1"/>
  <c r="G437" i="1"/>
  <c r="G429" i="1"/>
  <c r="G451" i="1"/>
  <c r="F21" i="1"/>
  <c r="F20" i="1" s="1"/>
  <c r="F19" i="1" s="1"/>
  <c r="F38" i="1"/>
  <c r="F37" i="1" s="1"/>
  <c r="F36" i="1" s="1"/>
  <c r="F44" i="1"/>
  <c r="F43" i="1" s="1"/>
  <c r="F42" i="1" s="1"/>
  <c r="F62" i="1"/>
  <c r="F60" i="1" s="1"/>
  <c r="F67" i="1"/>
  <c r="F66" i="1" s="1"/>
  <c r="F70" i="1"/>
  <c r="F69" i="1" s="1"/>
  <c r="F72" i="1"/>
  <c r="F77" i="1"/>
  <c r="F76" i="1" s="1"/>
  <c r="F75" i="1" s="1"/>
  <c r="F93" i="1"/>
  <c r="F92" i="1" s="1"/>
  <c r="F91" i="1" s="1"/>
  <c r="F97" i="1"/>
  <c r="F96" i="1" s="1"/>
  <c r="F95" i="1" s="1"/>
  <c r="F101" i="1"/>
  <c r="F100" i="1" s="1"/>
  <c r="F99" i="1" s="1"/>
  <c r="F115" i="1"/>
  <c r="F121" i="1"/>
  <c r="F120" i="1" s="1"/>
  <c r="F126" i="1"/>
  <c r="F89" i="1"/>
  <c r="F88" i="1" s="1"/>
  <c r="F80" i="1" s="1"/>
  <c r="F49" i="1"/>
  <c r="F48" i="1" s="1"/>
  <c r="F47" i="1" s="1"/>
  <c r="F46" i="1" s="1"/>
  <c r="F182" i="1"/>
  <c r="F181" i="1" s="1"/>
  <c r="F180" i="1" s="1"/>
  <c r="F186" i="1"/>
  <c r="F185" i="1" s="1"/>
  <c r="F184" i="1" s="1"/>
  <c r="F190" i="1"/>
  <c r="F189" i="1" s="1"/>
  <c r="F188" i="1" s="1"/>
  <c r="F193" i="1"/>
  <c r="F192" i="1" s="1"/>
  <c r="F149" i="1"/>
  <c r="F151" i="1"/>
  <c r="F154" i="1"/>
  <c r="F156" i="1"/>
  <c r="F159" i="1"/>
  <c r="F161" i="1"/>
  <c r="F165" i="1"/>
  <c r="F164" i="1" s="1"/>
  <c r="F146" i="1"/>
  <c r="F145" i="1" s="1"/>
  <c r="F144" i="1" s="1"/>
  <c r="F223" i="1"/>
  <c r="F225" i="1"/>
  <c r="F243" i="1"/>
  <c r="F234" i="1" s="1"/>
  <c r="F259" i="1"/>
  <c r="F258" i="1" s="1"/>
  <c r="F272" i="1"/>
  <c r="F275" i="1"/>
  <c r="F265" i="1"/>
  <c r="F301" i="1"/>
  <c r="F292" i="1"/>
  <c r="F291" i="1" s="1"/>
  <c r="F290" i="1" s="1"/>
  <c r="F315" i="1"/>
  <c r="F313" i="1"/>
  <c r="F308" i="1"/>
  <c r="F328" i="1"/>
  <c r="F327" i="1" s="1"/>
  <c r="F331" i="1"/>
  <c r="F330" i="1" s="1"/>
  <c r="F282" i="1"/>
  <c r="F280" i="1" s="1"/>
  <c r="F279" i="1" s="1"/>
  <c r="F278" i="1" s="1"/>
  <c r="F344" i="1"/>
  <c r="F338" i="1"/>
  <c r="F353" i="1"/>
  <c r="F352" i="1" s="1"/>
  <c r="F359" i="1"/>
  <c r="F358" i="1" s="1"/>
  <c r="F370" i="1"/>
  <c r="F369" i="1" s="1"/>
  <c r="F368" i="1" s="1"/>
  <c r="F376" i="1"/>
  <c r="F375" i="1" s="1"/>
  <c r="F374" i="1" s="1"/>
  <c r="F373" i="1" s="1"/>
  <c r="F386" i="1"/>
  <c r="F378" i="1" s="1"/>
  <c r="F398" i="1"/>
  <c r="F437" i="1"/>
  <c r="F429" i="1"/>
  <c r="F428" i="1" s="1"/>
  <c r="F451" i="1"/>
  <c r="G73" i="1"/>
  <c r="F73" i="1"/>
  <c r="F397" i="1" l="1"/>
  <c r="F396" i="1" s="1"/>
  <c r="F372" i="1" s="1"/>
  <c r="F222" i="1"/>
  <c r="F221" i="1" s="1"/>
  <c r="F220" i="1" s="1"/>
  <c r="G222" i="1"/>
  <c r="G221" i="1" s="1"/>
  <c r="G220" i="1" s="1"/>
  <c r="F271" i="1"/>
  <c r="F270" i="1" s="1"/>
  <c r="F269" i="1" s="1"/>
  <c r="G271" i="1"/>
  <c r="G270" i="1" s="1"/>
  <c r="G269" i="1" s="1"/>
  <c r="F312" i="1"/>
  <c r="F311" i="1" s="1"/>
  <c r="G312" i="1"/>
  <c r="G311" i="1" s="1"/>
  <c r="F103" i="1"/>
  <c r="F326" i="1"/>
  <c r="G326" i="1"/>
  <c r="F179" i="1"/>
  <c r="G179" i="1"/>
  <c r="G103" i="1"/>
  <c r="G233" i="1"/>
  <c r="G232" i="1" s="1"/>
  <c r="G231" i="1" s="1"/>
  <c r="G436" i="1"/>
  <c r="G435" i="1" s="1"/>
  <c r="G434" i="1" s="1"/>
  <c r="F436" i="1"/>
  <c r="F435" i="1" s="1"/>
  <c r="G343" i="1"/>
  <c r="G342" i="1" s="1"/>
  <c r="F343" i="1"/>
  <c r="F342" i="1" s="1"/>
  <c r="F264" i="1"/>
  <c r="F263" i="1" s="1"/>
  <c r="F262" i="1" s="1"/>
  <c r="G397" i="1"/>
  <c r="G396" i="1" s="1"/>
  <c r="G372" i="1" s="1"/>
  <c r="F307" i="1"/>
  <c r="F306" i="1" s="1"/>
  <c r="G296" i="1"/>
  <c r="G295" i="1" s="1"/>
  <c r="G294" i="1" s="1"/>
  <c r="G284" i="1" s="1"/>
  <c r="G281" i="1"/>
  <c r="F281" i="1"/>
  <c r="G422" i="1"/>
  <c r="G421" i="1" s="1"/>
  <c r="G420" i="1" s="1"/>
  <c r="G80" i="1"/>
  <c r="G79" i="1" s="1"/>
  <c r="G357" i="1"/>
  <c r="G356" i="1" s="1"/>
  <c r="F61" i="1"/>
  <c r="G61" i="1"/>
  <c r="F427" i="1"/>
  <c r="F426" i="1" s="1"/>
  <c r="F425" i="1" s="1"/>
  <c r="F422" i="1"/>
  <c r="G450" i="1"/>
  <c r="G449" i="1" s="1"/>
  <c r="G448" i="1" s="1"/>
  <c r="G447" i="1" s="1"/>
  <c r="G446" i="1" s="1"/>
  <c r="F148" i="1"/>
  <c r="F143" i="1" s="1"/>
  <c r="G148" i="1"/>
  <c r="G143" i="1" s="1"/>
  <c r="G428" i="1"/>
  <c r="G427" i="1" s="1"/>
  <c r="G426" i="1" s="1"/>
  <c r="G425" i="1" s="1"/>
  <c r="F296" i="1"/>
  <c r="F295" i="1" s="1"/>
  <c r="F294" i="1" s="1"/>
  <c r="F284" i="1" s="1"/>
  <c r="F27" i="1"/>
  <c r="F26" i="1" s="1"/>
  <c r="F25" i="1" s="1"/>
  <c r="G27" i="1"/>
  <c r="G26" i="1" s="1"/>
  <c r="G25" i="1" s="1"/>
  <c r="F450" i="1"/>
  <c r="F449" i="1" s="1"/>
  <c r="F448" i="1" s="1"/>
  <c r="F447" i="1" s="1"/>
  <c r="F446" i="1" s="1"/>
  <c r="F357" i="1"/>
  <c r="F356" i="1" s="1"/>
  <c r="F79" i="1"/>
  <c r="G337" i="1"/>
  <c r="G336" i="1" s="1"/>
  <c r="G264" i="1"/>
  <c r="G263" i="1" s="1"/>
  <c r="G262" i="1" s="1"/>
  <c r="F65" i="1"/>
  <c r="G65" i="1"/>
  <c r="F340" i="1"/>
  <c r="F337" i="1" s="1"/>
  <c r="F64" i="1" l="1"/>
  <c r="F18" i="1" s="1"/>
  <c r="G64" i="1"/>
  <c r="G18" i="1" s="1"/>
  <c r="F421" i="1"/>
  <c r="F420" i="1" s="1"/>
  <c r="F415" i="1" s="1"/>
  <c r="F414" i="1" s="1"/>
  <c r="F336" i="1"/>
  <c r="F335" i="1" s="1"/>
  <c r="F334" i="1" s="1"/>
  <c r="F434" i="1"/>
  <c r="F433" i="1"/>
  <c r="G261" i="1"/>
  <c r="F261" i="1"/>
  <c r="G415" i="1"/>
  <c r="G414" i="1" s="1"/>
  <c r="G335" i="1"/>
  <c r="G334" i="1" s="1"/>
  <c r="F233" i="1"/>
  <c r="F232" i="1" s="1"/>
  <c r="F231" i="1" s="1"/>
  <c r="G142" i="1"/>
  <c r="F142" i="1"/>
  <c r="G219" i="1"/>
  <c r="F219" i="1"/>
  <c r="G433" i="1"/>
  <c r="G305" i="1"/>
  <c r="G304" i="1" s="1"/>
  <c r="G355" i="1"/>
  <c r="F305" i="1"/>
  <c r="F304" i="1" s="1"/>
  <c r="F355" i="1"/>
  <c r="F413" i="1" l="1"/>
  <c r="F333" i="1"/>
  <c r="G413" i="1"/>
  <c r="G333" i="1"/>
  <c r="F218" i="1"/>
  <c r="G218" i="1"/>
  <c r="G456" i="1" l="1"/>
  <c r="G460" i="1" s="1"/>
  <c r="F456" i="1"/>
  <c r="F460" i="1" s="1"/>
</calcChain>
</file>

<file path=xl/sharedStrings.xml><?xml version="1.0" encoding="utf-8"?>
<sst xmlns="http://schemas.openxmlformats.org/spreadsheetml/2006/main" count="1885" uniqueCount="498">
  <si>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</si>
  <si>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</si>
  <si>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</si>
  <si>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</si>
  <si>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</si>
  <si>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</si>
  <si>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</si>
  <si>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</si>
  <si>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</si>
  <si>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</si>
  <si>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</si>
  <si>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</si>
  <si>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</si>
  <si>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</si>
  <si>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</si>
  <si>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</si>
  <si>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</si>
  <si>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</si>
  <si>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</si>
  <si>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</si>
  <si>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</si>
  <si>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</si>
  <si>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</si>
  <si>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</si>
  <si>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</si>
  <si>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</si>
  <si>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</si>
  <si>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</si>
  <si>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</si>
  <si>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</si>
  <si>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</si>
  <si>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</si>
  <si>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</si>
  <si>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</si>
  <si>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</si>
  <si>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</si>
  <si>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</si>
  <si>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</si>
  <si>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</si>
  <si>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</si>
  <si>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</si>
  <si>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</si>
  <si>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</si>
  <si>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</si>
  <si>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</si>
  <si>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</si>
  <si>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</si>
  <si>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</si>
  <si>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</si>
  <si>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</si>
  <si>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</si>
  <si>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</si>
  <si>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</si>
  <si>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</si>
  <si>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</si>
  <si>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</si>
  <si>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</si>
  <si>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</si>
  <si>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</si>
  <si>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</si>
  <si>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</si>
  <si>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</si>
  <si>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</si>
  <si>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</si>
  <si>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</si>
  <si>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</si>
  <si>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</si>
  <si>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</si>
  <si>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</si>
  <si>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</si>
  <si>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</si>
  <si>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</si>
  <si>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</si>
  <si>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</si>
  <si>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</si>
  <si>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</si>
  <si>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</si>
  <si>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</si>
  <si>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</si>
  <si>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</si>
  <si>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</si>
  <si>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</si>
  <si>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</si>
  <si>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</si>
  <si>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</si>
  <si>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</si>
  <si>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</si>
  <si>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</si>
  <si>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</si>
  <si>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</si>
  <si>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</si>
  <si>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</si>
  <si>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</si>
  <si>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</si>
  <si>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</si>
  <si>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</si>
  <si>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</si>
  <si>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</si>
  <si>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</si>
  <si>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</si>
  <si>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</si>
  <si>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</si>
  <si>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</si>
  <si>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</si>
  <si>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</si>
  <si>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</si>
  <si>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</si>
  <si>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</si>
  <si>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</si>
  <si>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</si>
  <si>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</si>
  <si>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</si>
  <si>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</si>
  <si>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</si>
  <si>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</si>
  <si>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</si>
  <si>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</si>
  <si>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</si>
  <si>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</si>
  <si>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</si>
  <si>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</si>
  <si>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</si>
  <si>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</si>
  <si>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</si>
  <si>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</si>
  <si>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</si>
  <si>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</si>
  <si>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</si>
  <si>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</si>
  <si>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</si>
  <si>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</si>
  <si>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</si>
  <si>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</si>
  <si>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</si>
  <si>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</si>
  <si>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</si>
  <si>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</si>
  <si>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</si>
  <si>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</si>
  <si>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</si>
  <si>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</si>
  <si>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</si>
  <si>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</si>
  <si>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</si>
  <si>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</si>
  <si>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</si>
  <si>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</si>
  <si>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</si>
  <si>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</si>
  <si>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</si>
  <si>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</si>
  <si>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</si>
  <si>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</si>
  <si>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</si>
  <si>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</si>
  <si>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</si>
  <si>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</si>
  <si>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</si>
  <si>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</si>
  <si>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</si>
  <si>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</si>
  <si>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</si>
  <si>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</si>
  <si>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</si>
  <si>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</si>
  <si>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</si>
  <si>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</si>
  <si>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</si>
  <si>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</si>
  <si>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</si>
  <si>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</si>
  <si>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</si>
  <si>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</si>
  <si>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</si>
  <si>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</si>
  <si>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</si>
  <si>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</si>
  <si>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</si>
  <si>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</si>
  <si>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</si>
  <si>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</si>
  <si>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</si>
  <si>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</si>
  <si>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</si>
  <si>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</si>
  <si>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</si>
  <si>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</si>
  <si>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</si>
  <si>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</si>
  <si>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</si>
  <si>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</si>
  <si>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</si>
  <si>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</si>
  <si>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</si>
  <si>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</si>
  <si>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</si>
  <si>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</si>
  <si>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</si>
  <si>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</si>
  <si>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</si>
  <si>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</si>
  <si>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</si>
  <si>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</si>
  <si>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</si>
  <si>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</si>
  <si>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</si>
  <si>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</si>
  <si>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</si>
  <si>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</si>
  <si>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</si>
  <si>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</si>
  <si>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</si>
  <si>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</si>
  <si>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</si>
  <si>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</si>
  <si>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</si>
  <si>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</si>
  <si>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</si>
  <si>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</si>
  <si>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</si>
  <si>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</si>
  <si>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</si>
  <si>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</si>
  <si>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</si>
  <si>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</si>
  <si>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</si>
  <si>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</si>
  <si>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</si>
  <si>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</si>
  <si>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</si>
  <si>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</si>
  <si>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</si>
  <si>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</si>
  <si>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</si>
  <si>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</si>
  <si>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</si>
  <si>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</si>
  <si>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</si>
  <si>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</si>
  <si>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</si>
  <si>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</si>
  <si>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</si>
  <si>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</si>
  <si>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</si>
  <si>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</si>
  <si>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</si>
  <si>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</si>
  <si>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</si>
  <si>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</si>
  <si>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</si>
  <si>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</si>
  <si>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</si>
  <si>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</si>
  <si>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</si>
  <si>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</si>
  <si>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</si>
  <si>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</si>
  <si>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</si>
  <si>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</si>
  <si>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</si>
  <si>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</si>
  <si>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</si>
  <si>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</si>
  <si>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</si>
  <si>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</si>
  <si>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</si>
  <si>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</si>
  <si>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</si>
  <si>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</si>
  <si>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</si>
  <si>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</si>
  <si>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</si>
  <si>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</si>
  <si>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</si>
  <si>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</si>
  <si>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</si>
  <si>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</si>
  <si>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</si>
  <si>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</si>
  <si>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</si>
  <si>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</si>
  <si>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</si>
  <si>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</si>
  <si>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</si>
  <si>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</si>
  <si>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</si>
  <si>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</si>
  <si>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</si>
  <si>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</si>
  <si>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</si>
  <si>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</si>
  <si>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</si>
  <si>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</si>
  <si>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</si>
  <si>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</si>
  <si>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</si>
  <si>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</si>
  <si>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</si>
  <si>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</si>
  <si>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</si>
  <si>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</si>
  <si>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</si>
  <si>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</si>
  <si>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</si>
  <si>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</si>
  <si>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</si>
  <si>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</si>
  <si>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</si>
  <si>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</si>
  <si>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</si>
  <si>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</si>
  <si>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</si>
  <si>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</si>
  <si>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</si>
  <si>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</si>
  <si>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</si>
  <si>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</si>
  <si>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</si>
  <si>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</si>
  <si>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</si>
  <si>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</si>
  <si>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</si>
  <si>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</si>
  <si>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</si>
  <si>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</si>
  <si>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</si>
  <si>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</si>
  <si>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</si>
  <si>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</si>
  <si>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</si>
  <si>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</si>
  <si>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</si>
  <si>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</si>
  <si>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</si>
  <si>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</si>
  <si>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</si>
  <si>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</si>
  <si>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</si>
  <si>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</si>
  <si>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</si>
  <si>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</si>
  <si>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</si>
  <si>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</si>
  <si>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</si>
  <si>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</si>
  <si>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</si>
  <si>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</si>
  <si>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</si>
  <si>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</si>
  <si>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</si>
  <si>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</si>
  <si>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</si>
  <si>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</si>
  <si>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</si>
  <si>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</si>
  <si>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</si>
  <si>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</si>
  <si>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</si>
  <si>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</si>
  <si>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</si>
  <si>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Коммунальное хозяйство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</si>
  <si>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</si>
  <si>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</si>
  <si>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</si>
  <si>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</si>
  <si>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</si>
  <si>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04304 82200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</si>
  <si>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</si>
  <si>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</si>
  <si>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</si>
  <si>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</si>
  <si>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</si>
  <si>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</si>
  <si>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</si>
  <si>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</si>
  <si>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</si>
  <si>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</si>
  <si>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</si>
  <si>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</si>
  <si>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</si>
  <si>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</si>
  <si>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</si>
  <si>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</si>
  <si>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</si>
  <si>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</si>
  <si>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</si>
  <si>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</si>
  <si>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</si>
  <si>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</si>
  <si>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</si>
  <si>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</si>
  <si>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«Развитие муниципальной службы в Селенгинском районе на 2020 - 2025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</si>
  <si>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</si>
  <si>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</si>
  <si>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</si>
  <si>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09200 00000</t>
  </si>
  <si>
    <t>Основное мероприятие «Обеспечение специалистами сферы физической культуры и спорта»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</si>
  <si>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</si>
  <si>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</si>
  <si>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</si>
  <si>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Закупка товаров, работ, услуг в сфере информационно-коммуникационных технологий</t>
  </si>
  <si>
    <t>Расходы на обеспечение деятельности учреждения</t>
  </si>
  <si>
    <t>04102 82100</t>
  </si>
  <si>
    <t>04102 82150</t>
  </si>
  <si>
    <t>99900 83220</t>
  </si>
  <si>
    <t>Расходы на обеспечение деятельности учреждений по инфраструктуре</t>
  </si>
  <si>
    <t>99900 83200</t>
  </si>
  <si>
    <t>04304 9Д005</t>
  </si>
  <si>
    <t>Муниципальная программа "Чистая вода на 2020-2025 годы"</t>
  </si>
  <si>
    <t>Основное мероприятие "Улучшение качества питьевой воды"</t>
  </si>
  <si>
    <t>17000 00000</t>
  </si>
  <si>
    <t>17001 00000</t>
  </si>
  <si>
    <t>17001 82900</t>
  </si>
  <si>
    <t>Муниципальная программа "Охрана окружающей среды в муниципальном образовании "Селенгинский район" на 2023-2027 годы"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</si>
  <si>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</si>
  <si>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</si>
  <si>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</si>
  <si>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</si>
  <si>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321</t>
  </si>
  <si>
    <t>Пособия, компенсации и иные социальные выплаты гражданам, кроме публичных нормативных обязательств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</si>
  <si>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</si>
  <si>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</si>
  <si>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16000 00000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</si>
  <si>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</si>
  <si>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Реализация мероприятий по строительству жилья, предоставляемого по договору найма жилого помещения</t>
  </si>
  <si>
    <t>Обеспечение комплексного развития сельских территорий</t>
  </si>
  <si>
    <t>06040 00000</t>
  </si>
  <si>
    <t>06040 L5760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</si>
  <si>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</si>
  <si>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</si>
  <si>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</si>
  <si>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</si>
  <si>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</si>
  <si>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</si>
  <si>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</si>
  <si>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</si>
  <si>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</si>
  <si>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</si>
  <si>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</si>
  <si>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</si>
  <si>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</si>
  <si>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</si>
  <si>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102Ю6 50500</t>
  </si>
  <si>
    <t>102Ю6 51790</t>
  </si>
  <si>
    <t>102Ю6 53030</t>
  </si>
  <si>
    <t>99900 9Т001</t>
  </si>
  <si>
    <t>094Е8 72Р50</t>
  </si>
  <si>
    <t>160И4 00000</t>
  </si>
  <si>
    <t>160И4 55550</t>
  </si>
  <si>
    <t>Субсидии гражданам на приобретение жилья</t>
  </si>
  <si>
    <t>к решению районного Совета депутатов МО "Селенгинский район"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</si>
  <si>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</si>
  <si>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</si>
  <si>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</si>
  <si>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</si>
  <si>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999И8 54170</t>
  </si>
  <si>
    <t>Муниципальная Программа «Управление муниципальными финансами и муниципальным долгом на 2024-2028 годы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</si>
  <si>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</si>
  <si>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деятельностьюмуниципального образования "Селенгинский район" на 2024-2028 годы</t>
  </si>
  <si>
    <t>Муниципальная программа «Развитие малого и среднего предпринимательства в Селенгинском районе на 2023-2027 годы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</si>
  <si>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</si>
  <si>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</si>
  <si>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</si>
  <si>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МП «Развитие образования в Селенгинском районе на 2024-2028 годы"</t>
  </si>
  <si>
    <t>Муниципальная программа «Старшее поколение на 2023-2027 годы</t>
  </si>
  <si>
    <t>Муниципальная программа «Организация общественных работ на территории муниципального образования "Селенгинский район" на 2020-2025 годы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</si>
  <si>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</si>
  <si>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"Повышение безопасности дорожного движения в Селенгинском районе»  на 2023 – 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</si>
  <si>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</si>
  <si>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</si>
  <si>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</si>
  <si>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</si>
  <si>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2026-2027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</si>
  <si>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</si>
  <si>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2024-2028 годы"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</si>
  <si>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</si>
  <si>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</si>
  <si>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«Развитие художественно-эстетического образования и воспитания на 2023-2027 годы»</t>
  </si>
  <si>
    <t>Подпрограмма "Дополнительное образование  в Селенгинском районе на 2024-2028 годы"</t>
  </si>
  <si>
    <t>Подпрограмма «Другие вопросы в области физической культуры и спорта на 2023-2027 годы»</t>
  </si>
  <si>
    <t xml:space="preserve">Подпрограмма «Развитие молодежной политики в Селенгинском районе на 2023-2027 годы»  </t>
  </si>
  <si>
    <t>Подпрограмма "Детский отдых в Селенгинском районе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</si>
  <si>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</si>
  <si>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на 2024-2028 годы"</t>
  </si>
  <si>
    <t>Подпрограмма "Семья и дети на 2024-2028 годы"</t>
  </si>
  <si>
    <t>Подпрограмма «Развитие библиотечного дела на 2023-2027 годы»</t>
  </si>
  <si>
    <t>Подпрограмма «Организация досуга и народного творчества на 2023-2027 годы»</t>
  </si>
  <si>
    <t>Подпрограмма «Другие вопросы в области культуры на 2023-2027 годы»</t>
  </si>
  <si>
    <t>Подпрограмма «Обеспечение жильем молодых семей на 2023-2027 годы»</t>
  </si>
  <si>
    <t>Подпрограмма «Развитие физической культуры и спорта на 2023-2027 годы»</t>
  </si>
  <si>
    <t>Подпрограмма «Содержание инструкторов по физической культуре и спорту на 2023-2027 годы»</t>
  </si>
  <si>
    <t>Подпрограмма «Развитие спорта высших достижений на 2023-2027 годы»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</si>
  <si>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</si>
  <si>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</si>
  <si>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</si>
  <si>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999Ч4 54410</t>
  </si>
  <si>
    <t>Приложение №5</t>
  </si>
  <si>
    <t>от 29 мая 2025   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</si>
</sst>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6" fontId="2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5" borderId="1" xfId="0" applyFont="1" applyFill="1" applyBorder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wrapText="1"/>
    </xf>
    <xf numFmtId="168" fontId="1" fillId="0" borderId="0" xfId="0" applyNumberFormat="1" applyFont="1" applyAlignment="1">
      <alignment wrapText="1"/>
    </xf>
    <xf numFmtId="0" fontId="3" fillId="8" borderId="1" xfId="0" applyFont="1" applyFill="1" applyBorder="1" applyAlignment="1">
      <alignment wrapText="1"/>
    </xf>
    <xf numFmtId="0" fontId="9" fillId="8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324" Type="http://schemas.openxmlformats.org/officeDocument/2006/relationships/revisionLog" Target="revisionLog268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314" Type="http://schemas.openxmlformats.org/officeDocument/2006/relationships/revisionLog" Target="revisionLog11.xml"/><Relationship Id="rId335" Type="http://schemas.openxmlformats.org/officeDocument/2006/relationships/revisionLog" Target="revisionLog278.xml"/><Relationship Id="rId181" Type="http://schemas.openxmlformats.org/officeDocument/2006/relationships/revisionLog" Target="revisionLog138.xml"/><Relationship Id="rId237" Type="http://schemas.openxmlformats.org/officeDocument/2006/relationships/revisionLog" Target="revisionLog192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216" Type="http://schemas.openxmlformats.org/officeDocument/2006/relationships/revisionLog" Target="revisionLog170.xml"/><Relationship Id="rId279" Type="http://schemas.openxmlformats.org/officeDocument/2006/relationships/revisionLog" Target="revisionLog233.xml"/><Relationship Id="rId258" Type="http://schemas.openxmlformats.org/officeDocument/2006/relationships/revisionLog" Target="revisionLog21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325" Type="http://schemas.openxmlformats.org/officeDocument/2006/relationships/revisionLog" Target="revisionLog269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171" Type="http://schemas.openxmlformats.org/officeDocument/2006/relationships/revisionLog" Target="revisionLog128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11.xml"/><Relationship Id="rId269" Type="http://schemas.openxmlformats.org/officeDocument/2006/relationships/revisionLog" Target="revisionLog223.xml"/><Relationship Id="rId108" Type="http://schemas.openxmlformats.org/officeDocument/2006/relationships/revisionLog" Target="revisionLog65.xml"/><Relationship Id="rId315" Type="http://schemas.openxmlformats.org/officeDocument/2006/relationships/revisionLog" Target="revisionLog263.xml"/><Relationship Id="rId33" Type="http://schemas.openxmlformats.org/officeDocument/2006/relationships/revisionLog" Target="revisionLog1111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336" Type="http://schemas.openxmlformats.org/officeDocument/2006/relationships/revisionLog" Target="revisionLog279.xml"/><Relationship Id="rId54" Type="http://schemas.openxmlformats.org/officeDocument/2006/relationships/revisionLog" Target="revisionLog53.xml"/><Relationship Id="rId96" Type="http://schemas.openxmlformats.org/officeDocument/2006/relationships/revisionLog" Target="revisionLog143.xml"/><Relationship Id="rId161" Type="http://schemas.openxmlformats.org/officeDocument/2006/relationships/revisionLog" Target="revisionLog117.xml"/><Relationship Id="rId217" Type="http://schemas.openxmlformats.org/officeDocument/2006/relationships/revisionLog" Target="revisionLog172.xml"/><Relationship Id="rId75" Type="http://schemas.openxmlformats.org/officeDocument/2006/relationships/revisionLog" Target="revisionLog171.xml"/><Relationship Id="rId140" Type="http://schemas.openxmlformats.org/officeDocument/2006/relationships/revisionLog" Target="revisionLog94.xml"/><Relationship Id="rId182" Type="http://schemas.openxmlformats.org/officeDocument/2006/relationships/revisionLog" Target="revisionLog131.xml"/><Relationship Id="rId238" Type="http://schemas.openxmlformats.org/officeDocument/2006/relationships/revisionLog" Target="revisionLog193.xml"/><Relationship Id="rId259" Type="http://schemas.openxmlformats.org/officeDocument/2006/relationships/revisionLog" Target="revisionLog21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326" Type="http://schemas.openxmlformats.org/officeDocument/2006/relationships/revisionLog" Target="revisionLog270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49" Type="http://schemas.openxmlformats.org/officeDocument/2006/relationships/revisionLog" Target="revisionLog203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281" Type="http://schemas.openxmlformats.org/officeDocument/2006/relationships/revisionLog" Target="revisionLog235.xml"/><Relationship Id="rId316" Type="http://schemas.openxmlformats.org/officeDocument/2006/relationships/revisionLog" Target="revisionLog264.xml"/><Relationship Id="rId337" Type="http://schemas.openxmlformats.org/officeDocument/2006/relationships/revisionLog" Target="revisionLog280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327" Type="http://schemas.openxmlformats.org/officeDocument/2006/relationships/revisionLog" Target="revisionLog27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322" Type="http://schemas.openxmlformats.org/officeDocument/2006/relationships/revisionLog" Target="revisionLog13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317" Type="http://schemas.openxmlformats.org/officeDocument/2006/relationships/revisionLog" Target="revisionLog265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312" Type="http://schemas.openxmlformats.org/officeDocument/2006/relationships/revisionLog" Target="revisionLog132.xml"/><Relationship Id="rId333" Type="http://schemas.openxmlformats.org/officeDocument/2006/relationships/revisionLog" Target="revisionLog1.xml"/><Relationship Id="rId338" Type="http://schemas.openxmlformats.org/officeDocument/2006/relationships/revisionLog" Target="revisionLog281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307" Type="http://schemas.openxmlformats.org/officeDocument/2006/relationships/revisionLog" Target="revisionLog121.xml"/><Relationship Id="rId328" Type="http://schemas.openxmlformats.org/officeDocument/2006/relationships/revisionLog" Target="revisionLog272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323" Type="http://schemas.openxmlformats.org/officeDocument/2006/relationships/revisionLog" Target="revisionLog12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1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10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318" Type="http://schemas.openxmlformats.org/officeDocument/2006/relationships/revisionLog" Target="revisionLog266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313" Type="http://schemas.openxmlformats.org/officeDocument/2006/relationships/revisionLog" Target="revisionLog15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334" Type="http://schemas.openxmlformats.org/officeDocument/2006/relationships/revisionLog" Target="revisionLog277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133.xml"/><Relationship Id="rId329" Type="http://schemas.openxmlformats.org/officeDocument/2006/relationships/revisionLog" Target="revisionLog273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1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1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11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319" Type="http://schemas.openxmlformats.org/officeDocument/2006/relationships/revisionLog" Target="revisionLog267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330" Type="http://schemas.openxmlformats.org/officeDocument/2006/relationships/revisionLog" Target="revisionLog274.xml"/><Relationship Id="rId90" Type="http://schemas.openxmlformats.org/officeDocument/2006/relationships/revisionLog" Target="revisionLog156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309" Type="http://schemas.openxmlformats.org/officeDocument/2006/relationships/revisionLog" Target="revisionLog261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320" Type="http://schemas.openxmlformats.org/officeDocument/2006/relationships/revisionLog" Target="revisionLog17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11.xml"/><Relationship Id="rId197" Type="http://schemas.openxmlformats.org/officeDocument/2006/relationships/revisionLog" Target="revisionLog134.xml"/><Relationship Id="rId201" Type="http://schemas.openxmlformats.org/officeDocument/2006/relationships/revisionLog" Target="revisionLog1561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7.xml"/><Relationship Id="rId310" Type="http://schemas.openxmlformats.org/officeDocument/2006/relationships/revisionLog" Target="revisionLog262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331" Type="http://schemas.openxmlformats.org/officeDocument/2006/relationships/revisionLog" Target="revisionLog275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.xml"/><Relationship Id="rId177" Type="http://schemas.openxmlformats.org/officeDocument/2006/relationships/revisionLog" Target="revisionLog1341.xml"/><Relationship Id="rId198" Type="http://schemas.openxmlformats.org/officeDocument/2006/relationships/revisionLog" Target="revisionLog18.xml"/><Relationship Id="rId321" Type="http://schemas.openxmlformats.org/officeDocument/2006/relationships/revisionLog" Target="revisionLog157.xml"/><Relationship Id="rId202" Type="http://schemas.openxmlformats.org/officeDocument/2006/relationships/revisionLog" Target="revisionLog1571.xml"/><Relationship Id="rId223" Type="http://schemas.openxmlformats.org/officeDocument/2006/relationships/revisionLog" Target="revisionLog1771.xml"/><Relationship Id="rId244" Type="http://schemas.openxmlformats.org/officeDocument/2006/relationships/revisionLog" Target="revisionLog199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311" Type="http://schemas.openxmlformats.org/officeDocument/2006/relationships/revisionLog" Target="revisionLog1210.xml"/><Relationship Id="rId332" Type="http://schemas.openxmlformats.org/officeDocument/2006/relationships/revisionLog" Target="revisionLog276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6F5F438-EB1E-4B67-B6B6-717BCC2935BB}" diskRevisions="1" revisionId="4919" version="338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F99DE9AB-5FF3-4E19-A761-5C855F616C79}" dateTime="2024-11-05T08:45:56" maxSheetId="2" userName="БутытоваСГ" r:id="rId249" minRId="3697" maxRId="3718">
    <sheetIdMap count="1">
      <sheetId val="1"/>
    </sheetIdMap>
  </header>
  <header guid="{8D568F8E-0B87-44E6-AD12-4A0932246AB5}" dateTime="2024-11-05T08:46:10" maxSheetId="2" userName="БутытоваСГ" r:id="rId250" minRId="3721" maxRId="3724">
    <sheetIdMap count="1">
      <sheetId val="1"/>
    </sheetIdMap>
  </header>
  <header guid="{1776ABC1-2641-4B81-BB75-1FB3700844D4}" dateTime="2024-11-05T08:48:34" maxSheetId="2" userName="БутытоваСГ" r:id="rId251" minRId="3725" maxRId="3751">
    <sheetIdMap count="1">
      <sheetId val="1"/>
    </sheetIdMap>
  </header>
  <header guid="{D63F6650-D7F9-4C01-80F5-D36F1A202094}" dateTime="2024-11-05T08:51:41" maxSheetId="2" userName="БутытоваСГ" r:id="rId252" minRId="3752" maxRId="3788">
    <sheetIdMap count="1">
      <sheetId val="1"/>
    </sheetIdMap>
  </header>
  <header guid="{78DA9D27-3749-4B07-ADE5-32FF36735D9F}" dateTime="2024-11-05T08:52:56" maxSheetId="2" userName="БутытоваСГ" r:id="rId253" minRId="3789" maxRId="3810">
    <sheetIdMap count="1">
      <sheetId val="1"/>
    </sheetIdMap>
  </header>
  <header guid="{18636F93-43F6-48D9-BCFC-058B8F4DF4BB}" dateTime="2024-11-05T08:56:48" maxSheetId="2" userName="БутытоваСГ" r:id="rId254" minRId="3811" maxRId="3857">
    <sheetIdMap count="1">
      <sheetId val="1"/>
    </sheetIdMap>
  </header>
  <header guid="{C3C23465-B435-4023-95B4-59E95360B96F}" dateTime="2024-11-05T09:01:21" maxSheetId="2" userName="БутытоваСГ" r:id="rId255" minRId="3858" maxRId="3879">
    <sheetIdMap count="1">
      <sheetId val="1"/>
    </sheetIdMap>
  </header>
  <header guid="{19622208-8610-4CE1-B742-689039D84008}" dateTime="2024-11-05T09:04:28" maxSheetId="2" userName="БутытоваСГ" r:id="rId256" minRId="3880" maxRId="3897">
    <sheetIdMap count="1">
      <sheetId val="1"/>
    </sheetIdMap>
  </header>
  <header guid="{795B692A-C510-4F5F-9BE3-F83A868118FF}" dateTime="2024-11-05T09:05:31" maxSheetId="2" userName="БутытоваСГ" r:id="rId257" minRId="3900" maxRId="3910">
    <sheetIdMap count="1">
      <sheetId val="1"/>
    </sheetIdMap>
  </header>
  <header guid="{D987ACAC-8B61-442C-AA46-E901F04AAC74}" dateTime="2024-11-05T09:09:40" maxSheetId="2" userName="БутытоваСГ" r:id="rId258" minRId="3911" maxRId="3959">
    <sheetIdMap count="1">
      <sheetId val="1"/>
    </sheetIdMap>
  </header>
  <header guid="{BFEF3D71-A9BB-4ECD-A679-16076E838D17}" dateTime="2024-11-05T09:12:22" maxSheetId="2" userName="БутытоваСГ" r:id="rId259" minRId="3962" maxRId="3983">
    <sheetIdMap count="1">
      <sheetId val="1"/>
    </sheetIdMap>
  </header>
  <header guid="{051767DD-CECC-44B1-B8B7-E2B69675024E}" dateTime="2024-11-05T09:13:20" maxSheetId="2" userName="БутытоваСГ" r:id="rId260" minRId="3984" maxRId="3999">
    <sheetIdMap count="1">
      <sheetId val="1"/>
    </sheetIdMap>
  </header>
  <header guid="{950D8E31-B5CB-4288-B6C6-C1F729F67841}" dateTime="2024-11-05T09:15:54" maxSheetId="2" userName="БутытоваСГ" r:id="rId261" minRId="4000" maxRId="4003">
    <sheetIdMap count="1">
      <sheetId val="1"/>
    </sheetIdMap>
  </header>
  <header guid="{5A589CFA-E10A-4BA6-9B09-C9AEAE8AC72B}" dateTime="2024-11-05T09:22:46" maxSheetId="2" userName="БутытоваСГ" r:id="rId262" minRId="4006" maxRId="4008">
    <sheetIdMap count="1">
      <sheetId val="1"/>
    </sheetIdMap>
  </header>
  <header guid="{F8FE9C8F-5788-4EBD-A76A-8DA47A35AC50}" dateTime="2024-11-05T09:24:49" maxSheetId="2" userName="БутытоваСГ" r:id="rId263" minRId="4009" maxRId="4023">
    <sheetIdMap count="1">
      <sheetId val="1"/>
    </sheetIdMap>
  </header>
  <header guid="{A6CD92C5-CE4D-42B4-9F19-226635B07610}" dateTime="2024-11-05T09:24:56" maxSheetId="2" userName="БутытоваСГ" r:id="rId264">
    <sheetIdMap count="1">
      <sheetId val="1"/>
    </sheetIdMap>
  </header>
  <header guid="{70D6B168-A46E-49B3-AF47-2120F549C800}" dateTime="2024-11-05T09:26:42" maxSheetId="2" userName="БутытоваСГ" r:id="rId265" minRId="4024" maxRId="4054">
    <sheetIdMap count="1">
      <sheetId val="1"/>
    </sheetIdMap>
  </header>
  <header guid="{4204072F-F901-4020-8103-0301957FB8D8}" dateTime="2024-11-05T09:27:15" maxSheetId="2" userName="БутытоваСГ" r:id="rId266" minRId="4055" maxRId="4058">
    <sheetIdMap count="1">
      <sheetId val="1"/>
    </sheetIdMap>
  </header>
  <header guid="{9A1F174D-63E2-4E12-A128-4C97816AF46B}" dateTime="2024-11-05T09:27:39" maxSheetId="2" userName="БутытоваСГ" r:id="rId267" minRId="4059" maxRId="4060">
    <sheetIdMap count="1">
      <sheetId val="1"/>
    </sheetIdMap>
  </header>
  <header guid="{D29AA47A-DF94-46C2-BB62-BE2008C30C45}" dateTime="2024-11-05T09:36:20" maxSheetId="2" userName="БутытоваСГ" r:id="rId268" minRId="4061" maxRId="4072">
    <sheetIdMap count="1">
      <sheetId val="1"/>
    </sheetIdMap>
  </header>
  <header guid="{946BA163-3518-47C1-B52D-842C7D63DF07}" dateTime="2024-11-05T09:38:12" maxSheetId="2" userName="БутытоваСГ" r:id="rId269" minRId="4073" maxRId="4082">
    <sheetIdMap count="1">
      <sheetId val="1"/>
    </sheetIdMap>
  </header>
  <header guid="{3FE83CB8-4214-4F91-A32C-66570231C8B5}" dateTime="2024-11-05T09:39:33" maxSheetId="2" userName="БутытоваСГ" r:id="rId270" minRId="4083" maxRId="4102">
    <sheetIdMap count="1">
      <sheetId val="1"/>
    </sheetIdMap>
  </header>
  <header guid="{1E7775D7-355E-499F-82EA-088E3BE83A07}" dateTime="2024-11-05T09:42:57" maxSheetId="2" userName="БутытоваСГ" r:id="rId271" minRId="4103" maxRId="4114">
    <sheetIdMap count="1">
      <sheetId val="1"/>
    </sheetIdMap>
  </header>
  <header guid="{A4E703BB-CDC9-4C53-8F11-ED7DEA30C1C6}" dateTime="2024-11-05T09:44:38" maxSheetId="2" userName="БутытоваСГ" r:id="rId272" minRId="4115" maxRId="4140">
    <sheetIdMap count="1">
      <sheetId val="1"/>
    </sheetIdMap>
  </header>
  <header guid="{F70A8EA0-2593-4120-A87E-0C4828867FD3}" dateTime="2024-11-05T09:47:39" maxSheetId="2" userName="БутытоваСГ" r:id="rId273" minRId="4141" maxRId="4172">
    <sheetIdMap count="1">
      <sheetId val="1"/>
    </sheetIdMap>
  </header>
  <header guid="{F60DDB5D-7A0E-4A33-9C1C-C91506532F59}" dateTime="2024-11-05T09:48:01" maxSheetId="2" userName="БутытоваСГ" r:id="rId274" minRId="4173" maxRId="4174">
    <sheetIdMap count="1">
      <sheetId val="1"/>
    </sheetIdMap>
  </header>
  <header guid="{5EF0C18B-B08E-44C2-8753-BA40E3464501}" dateTime="2024-11-05T09:49:26" maxSheetId="2" userName="БутытоваСГ" r:id="rId275" minRId="4175" maxRId="4184">
    <sheetIdMap count="1">
      <sheetId val="1"/>
    </sheetIdMap>
  </header>
  <header guid="{9C2D2DF9-FB90-4356-ADE9-99A10EBDE9E8}" dateTime="2024-11-05T09:50:22" maxSheetId="2" userName="БутытоваСГ" r:id="rId276" minRId="4185" maxRId="4212">
    <sheetIdMap count="1">
      <sheetId val="1"/>
    </sheetIdMap>
  </header>
  <header guid="{8014B77F-255D-4241-BD4E-DC6601E30581}" dateTime="2024-11-05T09:50:56" maxSheetId="2" userName="БутытоваСГ" r:id="rId277" minRId="4213" maxRId="4216">
    <sheetIdMap count="1">
      <sheetId val="1"/>
    </sheetIdMap>
  </header>
  <header guid="{1E5B6683-E5E2-4A84-924D-DD8C0988B377}" dateTime="2024-11-05T09:57:29" maxSheetId="2" userName="БутытоваСГ" r:id="rId278" minRId="4217" maxRId="4237">
    <sheetIdMap count="1">
      <sheetId val="1"/>
    </sheetIdMap>
  </header>
  <header guid="{2D7E5AE2-9A19-4188-9189-6605E4E922D1}" dateTime="2024-11-05T10:02:10" maxSheetId="2" userName="БутытоваСГ" r:id="rId279" minRId="4238" maxRId="4261">
    <sheetIdMap count="1">
      <sheetId val="1"/>
    </sheetIdMap>
  </header>
  <header guid="{0301B266-9506-4133-8437-3CEC230DC2CB}" dateTime="2024-11-05T10:20:44" maxSheetId="2" userName="БутытоваСГ" r:id="rId280" minRId="4262" maxRId="4273">
    <sheetIdMap count="1">
      <sheetId val="1"/>
    </sheetIdMap>
  </header>
  <header guid="{3A1AE7E5-96DA-46C9-A049-6F6E7BCFB231}" dateTime="2024-11-05T10:21:49" maxSheetId="2" userName="БутытоваСГ" r:id="rId281" minRId="4274" maxRId="4281">
    <sheetIdMap count="1">
      <sheetId val="1"/>
    </sheetIdMap>
  </header>
  <header guid="{1FCA0FA7-26A4-4820-9A19-C645A25329C4}" dateTime="2024-11-05T10:27:18" maxSheetId="2" userName="БутытоваСГ" r:id="rId282" minRId="4282" maxRId="4285">
    <sheetIdMap count="1">
      <sheetId val="1"/>
    </sheetIdMap>
  </header>
  <header guid="{44FF7312-549C-4E33-B756-3C996F962295}" dateTime="2024-11-05T10:41:03" maxSheetId="2" userName="БутытоваСГ" r:id="rId283" minRId="4286" maxRId="4294">
    <sheetIdMap count="1">
      <sheetId val="1"/>
    </sheetIdMap>
  </header>
  <header guid="{1C7F105D-8EA4-4D4D-B351-21EE47D0A845}" dateTime="2024-11-05T14:43:00" maxSheetId="2" userName="БутытоваСГ" r:id="rId284" minRId="4295" maxRId="4304">
    <sheetIdMap count="1">
      <sheetId val="1"/>
    </sheetIdMap>
  </header>
  <header guid="{1387A1CC-39D5-4A52-9F41-E89BFC1B8F7F}" dateTime="2024-11-05T14:45:30" maxSheetId="2" userName="БутытоваСГ" r:id="rId285" minRId="4305" maxRId="4312">
    <sheetIdMap count="1">
      <sheetId val="1"/>
    </sheetIdMap>
  </header>
  <header guid="{A897277B-2F09-4B77-B1BA-477CC48AEC24}" dateTime="2024-11-06T10:19:24" maxSheetId="2" userName="БутытоваСГ" r:id="rId286" minRId="4313" maxRId="4320">
    <sheetIdMap count="1">
      <sheetId val="1"/>
    </sheetIdMap>
  </header>
  <header guid="{060D4C05-8CD7-4D03-8419-296E7CB15A5F}" dateTime="2024-11-08T15:46:44" maxSheetId="2" userName="БутытоваСГ" r:id="rId287" minRId="4321" maxRId="4341">
    <sheetIdMap count="1">
      <sheetId val="1"/>
    </sheetIdMap>
  </header>
  <header guid="{A72378FF-B7C7-4BB4-86AC-1BA9B1AFC74F}" dateTime="2024-11-12T16:18:23" maxSheetId="2" userName="БутытоваСГ" r:id="rId288" minRId="4342" maxRId="4349">
    <sheetIdMap count="1">
      <sheetId val="1"/>
    </sheetIdMap>
  </header>
  <header guid="{F24F7514-9205-4358-9164-B45888A88C0A}" dateTime="2024-11-12T16:20:19" maxSheetId="2" userName="БутытоваСГ" r:id="rId289" minRId="4350" maxRId="4353">
    <sheetIdMap count="1">
      <sheetId val="1"/>
    </sheetIdMap>
  </header>
  <header guid="{49C124C4-E80B-4D52-887E-1134195D9388}" dateTime="2024-12-12T08:51:12" maxSheetId="2" userName="БутытоваСГ" r:id="rId290" minRId="4354" maxRId="4383">
    <sheetIdMap count="1">
      <sheetId val="1"/>
    </sheetIdMap>
  </header>
  <header guid="{5FC4DDCA-2724-4BAF-B17A-F9E5C47BFB0C}" dateTime="2024-12-12T08:54:54" maxSheetId="2" userName="БутытоваСГ" r:id="rId291" minRId="4384" maxRId="4413">
    <sheetIdMap count="1">
      <sheetId val="1"/>
    </sheetIdMap>
  </header>
  <header guid="{D03AC74E-2C9A-4246-A67C-D17DCA007677}" dateTime="2024-12-12T08:55:20" maxSheetId="2" userName="БутытоваСГ" r:id="rId292" minRId="4414" maxRId="4415">
    <sheetIdMap count="1">
      <sheetId val="1"/>
    </sheetIdMap>
  </header>
  <header guid="{9E1DD962-8E11-4D9D-945D-88EF03B7C68F}" dateTime="2024-12-12T08:55:48" maxSheetId="2" userName="БутытоваСГ" r:id="rId293" minRId="4416" maxRId="4417">
    <sheetIdMap count="1">
      <sheetId val="1"/>
    </sheetIdMap>
  </header>
  <header guid="{3723E403-50FC-42D6-A532-5A75ED4CD436}" dateTime="2024-12-12T08:57:42" maxSheetId="2" userName="БутытоваСГ" r:id="rId294" minRId="4418" maxRId="4445">
    <sheetIdMap count="1">
      <sheetId val="1"/>
    </sheetIdMap>
  </header>
  <header guid="{4780F098-4887-43F1-8DDD-A9FCA7234F1C}" dateTime="2024-12-12T08:58:43" maxSheetId="2" userName="БутытоваСГ" r:id="rId295" minRId="4446" maxRId="4449">
    <sheetIdMap count="1">
      <sheetId val="1"/>
    </sheetIdMap>
  </header>
  <header guid="{127B5E33-24DB-41F3-9547-10C68284A915}" dateTime="2024-12-12T08:58:52" maxSheetId="2" userName="БутытоваСГ" r:id="rId296">
    <sheetIdMap count="1">
      <sheetId val="1"/>
    </sheetIdMap>
  </header>
  <header guid="{E43FD234-C410-4316-B8C9-D7263A5704B0}" dateTime="2024-12-12T08:59:24" maxSheetId="2" userName="БутытоваСГ" r:id="rId297" minRId="4450" maxRId="4451">
    <sheetIdMap count="1">
      <sheetId val="1"/>
    </sheetIdMap>
  </header>
  <header guid="{CE35F0A4-8238-4347-AB68-2627E15B53F0}" dateTime="2024-12-12T09:02:21" maxSheetId="2" userName="БутытоваСГ" r:id="rId298" minRId="4452" maxRId="4453">
    <sheetIdMap count="1">
      <sheetId val="1"/>
    </sheetIdMap>
  </header>
  <header guid="{BE9B262E-3C79-4B49-AA89-121B50C0771F}" dateTime="2024-12-12T09:39:27" maxSheetId="2" userName="БутытоваСГ" r:id="rId299" minRId="4454" maxRId="4488">
    <sheetIdMap count="1">
      <sheetId val="1"/>
    </sheetIdMap>
  </header>
  <header guid="{B6320A60-7F9E-4E6A-8DA0-7A032372FC50}" dateTime="2024-12-12T15:50:43" maxSheetId="2" userName="БутытоваСГ" r:id="rId300" minRId="4489" maxRId="4517">
    <sheetIdMap count="1">
      <sheetId val="1"/>
    </sheetIdMap>
  </header>
  <header guid="{500B41CF-B3EE-4004-A6AF-7FF520AC752D}" dateTime="2024-12-12T15:52:18" maxSheetId="2" userName="БутытоваСГ" r:id="rId301" minRId="4518" maxRId="4519">
    <sheetIdMap count="1">
      <sheetId val="1"/>
    </sheetIdMap>
  </header>
  <header guid="{2B70F6F2-FDDA-409B-8BA5-97BE0848E608}" dateTime="2024-12-12T16:15:30" maxSheetId="2" userName="БутытоваСГ" r:id="rId302" minRId="4520" maxRId="4562">
    <sheetIdMap count="1">
      <sheetId val="1"/>
    </sheetIdMap>
  </header>
  <header guid="{AD4C891F-4615-49A3-8C33-360613877907}" dateTime="2024-12-12T16:37:47" maxSheetId="2" userName="БутытоваСГ" r:id="rId303" minRId="4563" maxRId="4586">
    <sheetIdMap count="1">
      <sheetId val="1"/>
    </sheetIdMap>
  </header>
  <header guid="{1FF6ECAB-5C4E-4C4F-BEA7-F3896D8CFFF4}" dateTime="2024-12-13T15:22:11" maxSheetId="2" userName="БутытоваСГ" r:id="rId304" minRId="4587" maxRId="4590">
    <sheetIdMap count="1">
      <sheetId val="1"/>
    </sheetIdMap>
  </header>
  <header guid="{0ED44387-68B9-4BC1-A273-A831D686D42A}" dateTime="2024-12-13T15:22:33" maxSheetId="2" userName="БутытоваСГ" r:id="rId305" minRId="4591">
    <sheetIdMap count="1">
      <sheetId val="1"/>
    </sheetIdMap>
  </header>
  <header guid="{BD7BE796-AD94-4BDA-914A-B26B2609ED2A}" dateTime="2024-12-17T15:18:53" maxSheetId="2" userName="БутытоваСГ" r:id="rId306" minRId="4592" maxRId="4595">
    <sheetIdMap count="1">
      <sheetId val="1"/>
    </sheetIdMap>
  </header>
  <header guid="{3B289E3C-E1F3-4F7A-8BB7-B100732D9164}" dateTime="2024-12-17T17:07:11" maxSheetId="2" userName="Ольга Владимировна" r:id="rId307" minRId="4596" maxRId="4600">
    <sheetIdMap count="1">
      <sheetId val="1"/>
    </sheetIdMap>
  </header>
  <header guid="{3F267627-58F7-434F-B94C-0544B8DACEE1}" dateTime="2024-12-19T13:50:58" maxSheetId="2" userName="Ольга Владимировна" r:id="rId308" minRId="4601" maxRId="4606">
    <sheetIdMap count="1">
      <sheetId val="1"/>
    </sheetIdMap>
  </header>
  <header guid="{592F0BBB-E947-4F31-87C4-BAA992C02060}" dateTime="2025-02-17T13:47:48" maxSheetId="2" userName="БутытоваСГ" r:id="rId309" minRId="4607" maxRId="4655">
    <sheetIdMap count="1">
      <sheetId val="1"/>
    </sheetIdMap>
  </header>
  <header guid="{3A646F14-3135-42CE-859F-3ED81C5D41BB}" dateTime="2025-02-17T13:53:15" maxSheetId="2" userName="БутытоваСГ" r:id="rId310" minRId="4658" maxRId="4665">
    <sheetIdMap count="1">
      <sheetId val="1"/>
    </sheetIdMap>
  </header>
  <header guid="{D7379BC2-564D-4372-877D-3CA0BA5CE5DE}" dateTime="2025-02-18T19:48:13" maxSheetId="2" userName="Ольга Владимировна" r:id="rId311" minRId="4666" maxRId="4669">
    <sheetIdMap count="1">
      <sheetId val="1"/>
    </sheetIdMap>
  </header>
  <header guid="{D286F15E-565C-4307-BF86-0BD9C3E34736}" dateTime="2025-02-18T19:51:25" maxSheetId="2" userName="Ольга Владимировна" r:id="rId312" minRId="4670" maxRId="4674">
    <sheetIdMap count="1">
      <sheetId val="1"/>
    </sheetIdMap>
  </header>
  <header guid="{7904E687-6FD9-46EF-B48A-96C992D06152}" dateTime="2025-02-19T08:36:28" maxSheetId="2" userName="Ольга Владимировна" r:id="rId313" minRId="4677" maxRId="4679">
    <sheetIdMap count="1">
      <sheetId val="1"/>
    </sheetIdMap>
  </header>
  <header guid="{DEEF5454-AFB2-4769-AF55-DB5F2755648B}" dateTime="2025-02-19T09:07:41" maxSheetId="2" userName="Ольга Владимировна" r:id="rId314">
    <sheetIdMap count="1">
      <sheetId val="1"/>
    </sheetIdMap>
  </header>
  <header guid="{EF12A129-5F8A-4EF4-ACED-B2400FE04A61}" dateTime="2025-02-25T10:15:23" maxSheetId="2" userName="Пользователь" r:id="rId315" minRId="4684">
    <sheetIdMap count="1">
      <sheetId val="1"/>
    </sheetIdMap>
  </header>
  <header guid="{4C680A2A-6EB4-471D-BA4B-4D1B653BA2EF}" dateTime="2025-03-20T16:22:08" maxSheetId="2" userName="БутытоваСГ" r:id="rId316" minRId="4685" maxRId="4688">
    <sheetIdMap count="1">
      <sheetId val="1"/>
    </sheetIdMap>
  </header>
  <header guid="{918BFED9-4164-46C9-918D-26E839C774D7}" dateTime="2025-03-20T16:26:53" maxSheetId="2" userName="БутытоваСГ" r:id="rId317" minRId="4689" maxRId="4690">
    <sheetIdMap count="1">
      <sheetId val="1"/>
    </sheetIdMap>
  </header>
  <header guid="{D2DF6D3A-8AC7-438C-A1C0-D373E7FA76A0}" dateTime="2025-03-24T15:18:25" maxSheetId="2" userName="БутытоваСГ" r:id="rId318" minRId="4691" maxRId="4692">
    <sheetIdMap count="1">
      <sheetId val="1"/>
    </sheetIdMap>
  </header>
  <header guid="{CC3C6267-48B0-46A5-BC5D-44AD5BF48A4E}" dateTime="2025-03-24T19:22:56" maxSheetId="2" userName="БутытоваСГ" r:id="rId319" minRId="4693" maxRId="4710">
    <sheetIdMap count="1">
      <sheetId val="1"/>
    </sheetIdMap>
  </header>
  <header guid="{16A4E9F5-AE39-42A8-A2FE-52C3275ABA04}" dateTime="2025-03-24T19:38:52" maxSheetId="2" userName="Ольга Владимировна" r:id="rId320" minRId="4713">
    <sheetIdMap count="1">
      <sheetId val="1"/>
    </sheetIdMap>
  </header>
  <header guid="{20D950A3-39F2-4D61-A650-558D5C5100FC}" dateTime="2025-03-24T21:15:38" maxSheetId="2" userName="Ольга Владимировна" r:id="rId321" minRId="4714" maxRId="4742">
    <sheetIdMap count="1">
      <sheetId val="1"/>
    </sheetIdMap>
  </header>
  <header guid="{B5F8EF2A-2D98-45D2-BC51-0203D6E32745}" dateTime="2025-03-24T21:16:07" maxSheetId="2" userName="Ольга Владимировна" r:id="rId322" minRId="4743">
    <sheetIdMap count="1">
      <sheetId val="1"/>
    </sheetIdMap>
  </header>
  <header guid="{4C03EF82-1B70-4413-890C-A5DC0400C20B}" dateTime="2025-03-24T21:46:40" maxSheetId="2" userName="Ольга Владимировна" r:id="rId323" minRId="4744" maxRId="4765">
    <sheetIdMap count="1">
      <sheetId val="1"/>
    </sheetIdMap>
  </header>
  <header guid="{A637B655-DF7A-4D29-91E0-AA7B06CBD4F0}" dateTime="2025-03-26T17:03:32" maxSheetId="2" userName="БутытоваСГ" r:id="rId324" minRId="4766" maxRId="4830">
    <sheetIdMap count="1">
      <sheetId val="1"/>
    </sheetIdMap>
  </header>
  <header guid="{D028D426-5CB6-4A8B-8E20-8FA8F0BDE2B0}" dateTime="2025-04-01T09:20:00" maxSheetId="2" userName="Пользователь" r:id="rId325" minRId="4831">
    <sheetIdMap count="1">
      <sheetId val="1"/>
    </sheetIdMap>
  </header>
  <header guid="{78D94BE0-3629-447C-BDD4-A1EF1FDF0078}" dateTime="2025-05-19T16:00:04" maxSheetId="2" userName="БутытоваСГ" r:id="rId326" minRId="4832" maxRId="4837">
    <sheetIdMap count="1">
      <sheetId val="1"/>
    </sheetIdMap>
  </header>
  <header guid="{2905D987-2163-4B4A-BE67-A1795782D25C}" dateTime="2025-05-19T16:06:24" maxSheetId="2" userName="БутытоваСГ" r:id="rId327" minRId="4838" maxRId="4890">
    <sheetIdMap count="1">
      <sheetId val="1"/>
    </sheetIdMap>
  </header>
  <header guid="{F02CCB63-52EA-44FC-BB86-0DDC82C8439E}" dateTime="2025-05-22T08:45:53" maxSheetId="2" userName="БутытоваСГ" r:id="rId328" minRId="4891" maxRId="4892">
    <sheetIdMap count="1">
      <sheetId val="1"/>
    </sheetIdMap>
  </header>
  <header guid="{A8D6525D-582E-437E-8831-BC836F3A5261}" dateTime="2025-05-22T08:47:05" maxSheetId="2" userName="БутытоваСГ" r:id="rId329" minRId="4893" maxRId="4894">
    <sheetIdMap count="1">
      <sheetId val="1"/>
    </sheetIdMap>
  </header>
  <header guid="{1F069EDC-5170-4D1F-972F-FAD0FBF4C55F}" dateTime="2025-05-22T08:53:25" maxSheetId="2" userName="БутытоваСГ" r:id="rId330" minRId="4895" maxRId="4902">
    <sheetIdMap count="1">
      <sheetId val="1"/>
    </sheetIdMap>
  </header>
  <header guid="{EAC79C42-A512-40AD-BCA9-AD03928BFA53}" dateTime="2025-05-22T10:17:48" maxSheetId="2" userName="БутытоваСГ" r:id="rId331" minRId="4903" maxRId="4904">
    <sheetIdMap count="1">
      <sheetId val="1"/>
    </sheetIdMap>
  </header>
  <header guid="{6A94A2E7-6E2C-4128-9F66-03F52AD207C9}" dateTime="2025-05-22T10:19:10" maxSheetId="2" userName="БутытоваСГ" r:id="rId332" minRId="4907" maxRId="4908">
    <sheetIdMap count="1">
      <sheetId val="1"/>
    </sheetIdMap>
  </header>
  <header guid="{A8097A3B-DAE0-4EFC-9B04-26D62ACA8748}" dateTime="2025-05-22T16:48:17" maxSheetId="2" userName="Ольга Владимировна" r:id="rId333" minRId="4909" maxRId="4910">
    <sheetIdMap count="1">
      <sheetId val="1"/>
    </sheetIdMap>
  </header>
  <header guid="{0E5155AE-C035-4895-B3D7-3317F713DBB2}" dateTime="2025-06-02T10:24:55" maxSheetId="2" userName="Пользователь" r:id="rId334" minRId="4911">
    <sheetIdMap count="1">
      <sheetId val="1"/>
    </sheetIdMap>
  </header>
  <header guid="{DD9C087C-030A-4131-BD94-F0DB4F0818BC}" dateTime="2025-06-02T10:28:45" maxSheetId="2" userName="Пользователь" r:id="rId335">
    <sheetIdMap count="1">
      <sheetId val="1"/>
    </sheetIdMap>
  </header>
  <header guid="{5C4F8AD1-9DB8-4506-9AAD-F1BB801225C4}" dateTime="2025-06-02T10:31:23" maxSheetId="2" userName="Пользователь" r:id="rId336">
    <sheetIdMap count="1">
      <sheetId val="1"/>
    </sheetIdMap>
  </header>
  <header guid="{9DC8D18D-55DF-4454-B192-2B08046965D0}" dateTime="2025-06-02T14:35:09" maxSheetId="2" userName="Пользователь" r:id="rId337">
    <sheetIdMap count="1">
      <sheetId val="1"/>
    </sheetIdMap>
  </header>
  <header guid="{26F5F438-EB1E-4B67-B6B6-717BCC2935BB}" dateTime="2025-06-05T08:13:57" maxSheetId="2" userName="Пользователь" r:id="rId33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909" sId="1" odxf="1">
    <oc r="G1" t="inlineStr">
      <is>
        <t>Приложение №6</t>
      </is>
    </oc>
    <nc r="G1" t="inlineStr">
      <is>
        <t>Приложение №5</t>
      </is>
    </nc>
    <odxf/>
  </rcc>
  <rcc rId="4910" sId="1" odxf="1">
    <oc r="G3" t="inlineStr">
      <is>
        <t>от 27 марта  2025    № 35</t>
      </is>
    </oc>
    <nc r="G3" t="inlineStr">
      <is>
        <t>от ___ мая  2025  №___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Ведом.структура!$A$1:$G$445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110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101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4744" sId="1">
    <oc r="A75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75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4745" sId="1">
    <oc r="A165" t="inlineStr">
      <is>
        <t>Подпрограмма "Развитие дорожной сети в Селенгинском районе"</t>
      </is>
    </oc>
    <nc r="A165" t="inlineStr">
      <is>
        <t>Подпрограмма "Развитие дорожной сети в Селенгинском районе 2024-2028 годы"</t>
      </is>
    </nc>
  </rcc>
  <rcc rId="4746" sId="1">
    <oc r="A211" t="inlineStr">
      <is>
        <t>Подпрограмма "Дошкольное образование в Селенгинском районе"</t>
      </is>
    </oc>
    <nc r="A211" t="inlineStr">
      <is>
        <t>Подпрограмма "Дошкольное образование в Селенгинском районе на 2024-2028 годы"</t>
      </is>
    </nc>
  </rcc>
  <rcc rId="4747" sId="1">
    <oc r="A223" t="inlineStr">
      <is>
        <t>Подпрограмма "Общее образование в Селенгинском районе"</t>
      </is>
    </oc>
    <nc r="A223" t="inlineStr">
      <is>
        <t>Подпрограмма "Общее образование в Селенгинском районе на 2024-2028 годы"</t>
      </is>
    </nc>
  </rcc>
  <rcc rId="4748" sId="1">
    <oc r="A253" t="inlineStr">
      <is>
        <t>Подпрограмма «Развитие художественно-эстетического образования и воспитания»</t>
      </is>
    </oc>
    <nc r="A253" t="inlineStr">
      <is>
        <t>Подпрограмма «Развитие художественно-эстетического образования и воспитания на 2023-2027 годы»</t>
      </is>
    </nc>
  </rcc>
  <rcc rId="4749" sId="1">
    <oc r="A260" t="inlineStr">
      <is>
        <t>Подпрограмма "Дополнительное образование  в Селенгинском районе"</t>
      </is>
    </oc>
    <nc r="A260" t="inlineStr">
      <is>
        <t>Подпрограмма "Дополнительное образование  в Селенгинском районе на 2024-2028 годы"</t>
      </is>
    </nc>
  </rcc>
  <rcc rId="4750" sId="1">
    <oc r="A270" t="inlineStr">
      <is>
        <t>Подпрограмма "Общее образование в Селенгинском районе"</t>
      </is>
    </oc>
    <nc r="A270" t="inlineStr">
      <is>
        <t>Подпрограмма "Общее образование в Селенгинском районе на 2024-2028 годы"</t>
      </is>
    </nc>
  </rcc>
  <rcc rId="4751" sId="1">
    <oc r="A276" t="inlineStr">
      <is>
        <t>Подпрограмма «Другие вопросы в области физической культуры и спорта»</t>
      </is>
    </oc>
    <nc r="A276" t="inlineStr">
      <is>
        <t>Подпрограмма «Другие вопросы в области физической культуры и спорта на 2023-2027 годы»</t>
      </is>
    </nc>
  </rcc>
  <rcc rId="4752" sId="1">
    <oc r="A280" t="inlineStr">
      <is>
        <t xml:space="preserve">Подпрограмма «Развитие молодежной политики в Селенгинском районе»  </t>
      </is>
    </oc>
    <nc r="A280" t="inlineStr">
      <is>
        <t xml:space="preserve">Подпрограмма «Развитие молодежной политики в Селенгинском районе на 2023-2027 годы»  </t>
      </is>
    </nc>
  </rcc>
  <rcc rId="4753" sId="1">
    <oc r="A285" t="inlineStr">
      <is>
        <t>Подпрограмма "Детский отдых в Селенгинском районе"</t>
      </is>
    </oc>
    <nc r="A285" t="inlineStr">
      <is>
        <t>Подпрограмма "Детский отдых в Селенгинском районе на 2024-2028 годы"</t>
      </is>
    </nc>
  </rcc>
  <rcc rId="4754" sId="1">
    <oc r="A296" t="inlineStr">
      <is>
        <t>Подпрограмма "Детский отдых в Селенгинском районе"</t>
      </is>
    </oc>
    <nc r="A296" t="inlineStr">
      <is>
        <t>Подпрограмма "Детский отдых в Селенгинском районе  на 2024-2028 годы"</t>
      </is>
    </nc>
  </rcc>
  <rcc rId="4755" sId="1">
    <oc r="A301" t="inlineStr">
      <is>
        <t>Подпрограмма "Другие вопросы в области образования в Селенгинском районе"</t>
      </is>
    </oc>
    <nc r="A301" t="inlineStr">
      <is>
        <t>Подпрограмма "Другие вопросы в области образования в Селенгинском районе на 2024-2028 годы"</t>
      </is>
    </nc>
  </rcc>
  <rcc rId="4756" sId="1">
    <oc r="A316" t="inlineStr">
      <is>
        <t>Подпрограмма "Семья и дети"</t>
      </is>
    </oc>
    <nc r="A316" t="inlineStr">
      <is>
        <t>Подпрограмма "Семья и дети на 2024-2028 годы"</t>
      </is>
    </nc>
  </rcc>
  <rcc rId="4757" sId="1">
    <oc r="A326" t="inlineStr">
      <is>
        <t>Подпрограмма «Развитие библиотечного дела»</t>
      </is>
    </oc>
    <nc r="A326" t="inlineStr">
      <is>
        <t>Подпрограмма «Развитие библиотечного дела на 2023-2027 годы»</t>
      </is>
    </nc>
  </rcc>
  <rcc rId="4758" sId="1">
    <oc r="A332" t="inlineStr">
      <is>
        <t>Подпрограмма «Организация досуга и народного творчества»</t>
      </is>
    </oc>
    <nc r="A332" t="inlineStr">
      <is>
        <t>Подпрограмма «Организация досуга и народного творчества на 2023-2027 годы»</t>
      </is>
    </nc>
  </rcc>
  <rcc rId="4759" sId="1">
    <oc r="A338" t="inlineStr">
      <is>
        <t>Подпрограмма «Другие вопросы в области культуры»</t>
      </is>
    </oc>
    <nc r="A338" t="inlineStr">
      <is>
        <t>Подпрограмма «Другие вопросы в области культуры на 2023-2027 годы»</t>
      </is>
    </nc>
  </rcc>
  <rcc rId="4760" sId="1">
    <oc r="A347" t="inlineStr">
      <is>
        <t>Подпрограмма «Другие вопросы в области культуры»</t>
      </is>
    </oc>
    <nc r="A347" t="inlineStr">
      <is>
        <t>Подпрограмма «Другие вопросы в области культуры на 2023-2027 годы»</t>
      </is>
    </nc>
  </rcc>
  <rcc rId="4761" sId="1">
    <oc r="A382" t="inlineStr">
      <is>
        <t>Подпрограмма «Обеспечение жильем молодых семей»</t>
      </is>
    </oc>
    <nc r="A382" t="inlineStr">
      <is>
        <t>Подпрограмма «Обеспечение жильем молодых семей на 2023-2027 годы»</t>
      </is>
    </nc>
  </rcc>
  <rcc rId="4762" sId="1">
    <oc r="A406" t="inlineStr">
      <is>
        <t>Подпрограмма «Развитие физической культуры и спорта»</t>
      </is>
    </oc>
    <nc r="A406" t="inlineStr">
      <is>
        <t>Подпрограмма «Развитие физической культуры и спорта на 2023-2027 годы»</t>
      </is>
    </nc>
  </rcc>
  <rcc rId="4763" sId="1">
    <oc r="A410" t="inlineStr">
      <is>
        <t>Подпрограмма «Содержание инструкторов по физической культуре и спорту»</t>
      </is>
    </oc>
    <nc r="A410" t="inlineStr">
      <is>
        <t>Подпрограмма «Содержание инструкторов по физической культуре и спорту на 2023-2027 годы»</t>
      </is>
    </nc>
  </rcc>
  <rcc rId="4764" sId="1">
    <oc r="A417" t="inlineStr">
      <is>
        <t>Подпрограмма «Развитие спорта высших достижений»</t>
      </is>
    </oc>
    <nc r="A417" t="inlineStr">
      <is>
        <t>Подпрограмма «Развитие спорта высших достижений на 2023-2027 годы»</t>
      </is>
    </nc>
  </rcc>
  <rcc rId="4765" sId="1">
    <oc r="A425" t="inlineStr">
      <is>
        <t>Подпрограмма «Другие вопросы в области физической культуры и спорта»</t>
      </is>
    </oc>
    <nc r="A425" t="inlineStr">
      <is>
        <t>Подпрограмма «Другие вопросы в области физической культуры и спорта на 2023-2027 годы»</t>
      </is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4596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4597" sId="1">
    <oc r="E6" t="inlineStr">
      <is>
        <t>плановый период 2025-2026 годов"</t>
      </is>
    </oc>
    <nc r="E6" t="inlineStr">
      <is>
        <t>плановый период 2026-2027 годов"</t>
      </is>
    </nc>
  </rcc>
  <rcc rId="4598" sId="1" odxf="1">
    <oc r="G7" t="inlineStr">
      <is>
        <t>от "___" декабря 2023 №___</t>
      </is>
    </oc>
    <nc r="G7" t="inlineStr">
      <is>
        <t>от "___" декабря 2024 №___</t>
      </is>
    </nc>
    <odxf/>
  </rcc>
  <rcc rId="4599" sId="1">
    <oc r="F13">
      <v>2025</v>
    </oc>
    <nc r="F13">
      <v>2026</v>
    </nc>
  </rcc>
  <rcc rId="4600" sId="1">
    <oc r="G13">
      <v>2026</v>
    </oc>
    <nc r="G13">
      <v>2027</v>
    </nc>
  </rcc>
</revisions>
</file>

<file path=xl/revisions/revisionLog1210.xml><?xml version="1.0" encoding="utf-8"?>
<revisions xmlns="http://schemas.openxmlformats.org/spreadsheetml/2006/main" xmlns:r="http://schemas.openxmlformats.org/officeDocument/2006/relationships">
  <rcc rId="4666" sId="1" numFmtId="4">
    <oc r="F143">
      <v>1.383</v>
    </oc>
    <nc r="F143">
      <v>1.3440000000000001</v>
    </nc>
  </rcc>
  <rcc rId="4667" sId="1" numFmtId="4">
    <oc r="F144">
      <v>0.41699999999999998</v>
    </oc>
    <nc r="F144">
      <v>0.40600000000000003</v>
    </nc>
  </rcc>
  <rcc rId="4668" sId="1" numFmtId="4">
    <oc r="G143">
      <v>1.383</v>
    </oc>
    <nc r="G143">
      <v>1.3440000000000001</v>
    </nc>
  </rcc>
  <rcc rId="4669" sId="1" numFmtId="4">
    <oc r="G144">
      <v>0.41699999999999998</v>
    </oc>
    <nc r="G144">
      <v>0.40600000000000003</v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4743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2026-2027 годы</t>
      </is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rc rId="4670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4671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672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673" sId="1">
    <nc r="G1" t="inlineStr">
      <is>
        <t>Приложение №6</t>
      </is>
    </nc>
  </rcc>
  <rcc rId="4674" sId="1" odxf="1">
    <oc r="G11" t="inlineStr">
      <is>
        <t>от "___" декабря 2024 №___</t>
      </is>
    </oc>
    <nc r="G11" t="inlineStr">
      <is>
        <t>от "23" декабря 2024 №25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Ведом.структура!$A$5:$G$445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>
  <rcc rId="4601" sId="1">
    <oc r="A230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30" t="inlineStr">
      <is>
    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    </is>
    </nc>
  </rcc>
  <rcc rId="4602" sId="1">
    <oc r="F231">
      <f>27585.6+278.6-1524.4</f>
    </oc>
    <nc r="F231">
      <f>27585.6+278.6-1524.4+0.2</f>
    </nc>
  </rcc>
  <rcc rId="4603" sId="1" numFmtId="34">
    <oc r="F443">
      <v>1368160.46</v>
    </oc>
    <nc r="F443">
      <v>1368160.66</v>
    </nc>
  </rcc>
  <rcc rId="4604" sId="1">
    <oc r="G227">
      <v>42291.904999999999</v>
    </oc>
    <nc r="G227">
      <f>42291.905+4991.3-249.565</f>
    </nc>
  </rcc>
  <rcc rId="4605" sId="1" numFmtId="34">
    <oc r="G440">
      <v>20269.657999999999</v>
    </oc>
    <nc r="G440">
      <v>20519.223000000002</v>
    </nc>
  </rcc>
  <rcc rId="4606" sId="1" numFmtId="34">
    <oc r="G443">
      <v>1367567.3600000001</v>
    </oc>
    <nc r="G443">
      <v>1372558.66</v>
    </nc>
  </rcc>
</revisions>
</file>

<file path=xl/revisions/revisionLog1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4677" sId="1" xfDxf="1" dxf="1">
    <oc r="A36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36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132" start="0" length="0">
    <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678" sId="1" xfDxf="1" dxf="1">
    <oc r="A273" t="inlineStr">
      <is>
        <t>Молодежная политика и оздоровление детей</t>
      </is>
    </oc>
    <nc r="A273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9" sId="1" xfDxf="1" dxf="1">
    <oc r="A435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435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Ведом.структура!$A$1:$G$445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>
  <rcc rId="4714" sId="1">
    <oc r="A47" t="inlineStr">
      <is>
        <t>Муниципальная Программа «Управление муниципальными финансами и муниципальным долгом на 2020-2025 годы</t>
      </is>
    </oc>
    <nc r="A47" t="inlineStr">
      <is>
        <t>Муниципальная Программа «Управление муниципальными финансами и муниципальным долгом на 2024-2028 годы</t>
      </is>
    </nc>
  </rcc>
  <rcc rId="4715" sId="1">
    <oc r="A438" t="inlineStr">
      <is>
        <t>Муниципальная Программа «Управление муниципальными финансами и муниципальным долгом на 2020-2025 годы</t>
      </is>
    </oc>
    <nc r="A438" t="inlineStr">
      <is>
        <t>Муниципальная Программа «Управление муниципальными финансами и муниципальным долгом на 2024-2028 годы</t>
      </is>
    </nc>
  </rcc>
  <rcc rId="4716" sId="1">
    <oc r="A7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70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4717" sId="1">
    <oc r="A7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74" t="inlineStr">
      <is>
        <t>Муниципальная Программа «Повышение качества управления муниципальной собственностью и градостроительной деятельностьюмуниципального образования "Селенгинский район" на 2024-2028 годы</t>
      </is>
    </nc>
  </rcc>
  <rcc rId="4718" sId="1">
    <oc r="A16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64" t="inlineStr">
      <is>
        <t>Муниципальная Программа «Повышение качества управления муниципальной собственностью и градостроительной деятельностьюмуниципального образования "Селенгинский район" на 2024-2028 годы</t>
      </is>
    </nc>
  </rcc>
  <rcc rId="4719" sId="1">
    <oc r="A86" t="inlineStr">
      <is>
        <t>Муниципальная программа «Развитие малого и среднего предпринимательства в Селенгинском районе на 2020-2025 годы</t>
      </is>
    </oc>
    <nc r="A86" t="inlineStr">
      <is>
        <t>Муниципальная программа «Развитие малого и среднего предпринимательства в Селенгинском районе на 2023-2027 годы</t>
      </is>
    </nc>
  </rcc>
  <rcc rId="4720" sId="1">
    <oc r="A139" t="inlineStr">
      <is>
        <t>Муниципальная программа «Комплексное развитие сельских территорий в Селенгинском районе на 2023-2025 годы»</t>
      </is>
    </oc>
    <nc r="A139" t="inlineStr">
      <is>
        <t>Муниципальная программа «Комплексное развитие сельских территорий в Селенгинском районе на 2024-2028 годы»</t>
      </is>
    </nc>
  </rcc>
  <rcc rId="4721" sId="1" odxf="1" dxf="1">
    <oc r="A369" t="inlineStr">
      <is>
        <t>МП «Комплексное развитие сельских территорий в Селенгинском районе на 2023-2025 годы»</t>
      </is>
    </oc>
    <nc r="A369" t="inlineStr">
      <is>
        <t>Муниципальная программа «Комплексное развитие сельских территорий в Селенгинском районе на 2024-2028 годы»</t>
      </is>
    </nc>
    <odxf>
      <fill>
        <patternFill patternType="solid">
          <bgColor theme="0"/>
        </patternFill>
      </fill>
      <alignment vertical="center" readingOrder="0"/>
    </odxf>
    <ndxf>
      <fill>
        <patternFill patternType="none">
          <bgColor indexed="65"/>
        </patternFill>
      </fill>
      <alignment vertical="top" readingOrder="0"/>
    </ndxf>
  </rcc>
  <rcc rId="4722" sId="1">
    <oc r="A252" t="inlineStr">
      <is>
        <t>Муниципальная Программа «Развитие культуры в Селенгинском районе на 2020 – 2025 годы»</t>
      </is>
    </oc>
    <nc r="A252" t="inlineStr">
      <is>
        <t>Муниципальная Программа «Развитие культуры в Селенгинском районе на 2023 – 2027 годы»</t>
      </is>
    </nc>
  </rcc>
  <rcc rId="4723" sId="1">
    <oc r="A325" t="inlineStr">
      <is>
        <t>Муниципальная Программа «Развитие культуры в Селенгинском районе на 2020 – 2025 годы»</t>
      </is>
    </oc>
    <nc r="A325" t="inlineStr">
      <is>
        <t>Муниципальная Программа «Развитие культуры в Селенгинском районе на 2023 – 2027 годы»</t>
      </is>
    </nc>
  </rcc>
  <rcc rId="4724" sId="1">
    <oc r="A346" t="inlineStr">
      <is>
        <t>Муниципальная Программа «Развитие культуры в Селенгинском районе на 2020 – 2025 годы»</t>
      </is>
    </oc>
    <nc r="A346" t="inlineStr">
      <is>
        <t>Муниципальная Программа «Развитие культуры в Селенгинском районе на 2023 – 2027 годы»</t>
      </is>
    </nc>
  </rcc>
  <rcc rId="4725" sId="1">
    <oc r="A27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27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726" sId="1" odxf="1" dxf="1">
    <oc r="A381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oc>
    <nc r="A381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  <odxf>
      <alignment horizontal="left" readingOrder="0"/>
    </odxf>
    <ndxf>
      <alignment horizontal="general" readingOrder="0"/>
    </ndxf>
  </rcc>
  <rcc rId="4727" sId="1" odxf="1" dxf="1">
    <oc r="A40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  <odxf>
      <alignment horizontal="left" readingOrder="0"/>
    </odxf>
    <ndxf>
      <alignment horizontal="general" readingOrder="0"/>
    </ndxf>
  </rcc>
  <rcc rId="4728" sId="1" odxf="1" dxf="1">
    <oc r="A41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  <odxf>
      <alignment horizontal="left" readingOrder="0"/>
    </odxf>
    <ndxf>
      <alignment horizontal="general" readingOrder="0"/>
    </ndxf>
  </rcc>
  <rcc rId="4729" sId="1">
    <oc r="A210" t="inlineStr">
      <is>
        <t>МП «Развитие образования в Селенгинском районе на 2020-2025 годы"</t>
      </is>
    </oc>
    <nc r="A210" t="inlineStr">
      <is>
        <t>МП «Развитие образования в Селенгинском районе на 2024-2028 годы"</t>
      </is>
    </nc>
  </rcc>
  <rcc rId="4730" sId="1">
    <oc r="A222" t="inlineStr">
      <is>
        <t>МП «Развитие образования в Селенгинском районе на 2020-2025 годы"</t>
      </is>
    </oc>
    <nc r="A222" t="inlineStr">
      <is>
        <t>МП «Развитие образования в Селенгинском районе на 2024-2028 годы"</t>
      </is>
    </nc>
  </rcc>
  <rcc rId="4731" sId="1">
    <oc r="A259" t="inlineStr">
      <is>
        <t>МП «Развитие образования в Селенгинском районе на 2020-2025 годы"</t>
      </is>
    </oc>
    <nc r="A259" t="inlineStr">
      <is>
        <t>МП «Развитие образования в Селенгинском районе на 2024-2028 годы"</t>
      </is>
    </nc>
  </rcc>
  <rcc rId="4732" sId="1">
    <oc r="A269" t="inlineStr">
      <is>
        <t>МП «Развитие образования в Селенгинском районе на 2020-2025 годы"</t>
      </is>
    </oc>
    <nc r="A269" t="inlineStr">
      <is>
        <t>МП «Развитие образования в Селенгинском районе на 2024-2028 годы"</t>
      </is>
    </nc>
  </rcc>
  <rcc rId="4733" sId="1">
    <oc r="A284" t="inlineStr">
      <is>
        <t>МП «Развитие образования в Селенгинском районе на 2020-2025 годы"</t>
      </is>
    </oc>
    <nc r="A284" t="inlineStr">
      <is>
        <t>МП «Развитие образования в Селенгинском районе на 2024-2028 годы"</t>
      </is>
    </nc>
  </rcc>
  <rcc rId="4734" sId="1">
    <oc r="A295" t="inlineStr">
      <is>
        <t>МП «Развитие образования в Селенгинском районе на 2020-2025 годы"</t>
      </is>
    </oc>
    <nc r="A295" t="inlineStr">
      <is>
        <t>МП «Развитие образования в Селенгинском районе на 2024-2028 годы"</t>
      </is>
    </nc>
  </rcc>
  <rcc rId="4735" sId="1">
    <oc r="A358" t="inlineStr">
      <is>
        <t>Муниципальная программа «Старшее поколение на 2020-2025 годы</t>
      </is>
    </oc>
    <nc r="A358" t="inlineStr">
      <is>
        <t>Муниципальная программа «Старшее поколение на 2023-2027 годы</t>
      </is>
    </nc>
  </rcc>
  <rcc rId="4736" sId="1">
    <oc r="A90" t="inlineStr">
      <is>
        <t>Муниципальная программа «Организация общественных работ на территории Селенгинского района на 2020-2025 годы</t>
      </is>
    </oc>
    <nc r="A90" t="inlineStr">
      <is>
        <t>Муниципальная программа «Организация общественных работ на территории муниципального образования "Селенгинский район" на 2020-2025 годы</t>
      </is>
    </nc>
  </rcc>
  <rcc rId="4737" sId="1">
    <oc r="A94" t="inlineStr">
      <is>
        <t>Муниципальная программа «Поддержка сельских и городских инициатив в Селенгинском районе на 2020-2025 годы»</t>
      </is>
    </oc>
    <nc r="A94" t="inlineStr">
      <is>
        <t>Муниципальная программа «Поддержка сельских и городских инициатив в Селенгинском районе на 2024-2028 годы»</t>
      </is>
    </nc>
  </rcc>
  <rcc rId="4738" sId="1">
    <oc r="A17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75" t="inlineStr">
      <is>
        <t>Муниципальная программа "Повышение безопасности дорожного движения в Селенгинском районе»  на 2023 – 2027 годы»</t>
      </is>
    </nc>
  </rcc>
  <rcc rId="4739" sId="1">
    <oc r="A2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2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2024-2028 годы</t>
      </is>
    </nc>
  </rcc>
  <rcc rId="4740" sId="1">
    <oc r="A13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3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4741" sId="1">
    <oc r="A179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79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742" sId="1">
    <oc r="A18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18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15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4713" sId="1" odxf="1">
    <oc r="G3" t="inlineStr">
      <is>
        <t>от 24 февраля 2025    № 28</t>
      </is>
    </oc>
    <nc r="G3" t="inlineStr">
      <is>
        <t>от________ 2025    №____</t>
      </is>
    </nc>
    <odxf/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7" sId="1" ref="A27:XFD27" action="insertRow"/>
  <rrc rId="3698" sId="1" ref="A27:XFD27" action="insertRow"/>
  <rcc rId="3699" sId="1">
    <nc r="B27" t="inlineStr">
      <is>
        <t>01</t>
      </is>
    </nc>
  </rcc>
  <rcc rId="3700" sId="1">
    <nc r="C27" t="inlineStr">
      <is>
        <t>03</t>
      </is>
    </nc>
  </rcc>
  <rcc rId="3701" sId="1">
    <nc r="D27" t="inlineStr">
      <is>
        <t>99900 81020</t>
      </is>
    </nc>
  </rcc>
  <rcc rId="3702" sId="1">
    <nc r="B28" t="inlineStr">
      <is>
        <t>01</t>
      </is>
    </nc>
  </rcc>
  <rcc rId="3703" sId="1">
    <nc r="C28" t="inlineStr">
      <is>
        <t>03</t>
      </is>
    </nc>
  </rcc>
  <rcc rId="3704" sId="1">
    <nc r="D28" t="inlineStr">
      <is>
        <t>99900 81020</t>
      </is>
    </nc>
  </rcc>
  <rcc rId="3705" sId="1">
    <nc r="E27" t="inlineStr">
      <is>
        <t>242</t>
      </is>
    </nc>
  </rcc>
  <rcc rId="3706" sId="1">
    <nc r="E28" t="inlineStr">
      <is>
        <t>244</t>
      </is>
    </nc>
  </rcc>
  <rcc rId="3707" sId="1">
    <oc r="F24">
      <f>SUM(F25:F26)</f>
    </oc>
    <nc r="F24">
      <f>SUM(F25:F28)</f>
    </nc>
  </rcc>
  <rcc rId="3708" sId="1">
    <oc r="G24">
      <f>SUM(G25:G26)</f>
    </oc>
    <nc r="G24">
      <f>SUM(G25:G28)</f>
    </nc>
  </rcc>
  <rcc rId="3709" sId="1" numFmtId="4">
    <oc r="F25">
      <v>1062.8</v>
    </oc>
    <nc r="F25">
      <v>1690.1</v>
    </nc>
  </rcc>
  <rcc rId="3710" sId="1" numFmtId="4">
    <oc r="G25">
      <v>1062.8</v>
    </oc>
    <nc r="G25">
      <v>1690.1</v>
    </nc>
  </rcc>
  <rcc rId="3711" sId="1" numFmtId="4">
    <oc r="F26">
      <v>321</v>
    </oc>
    <nc r="F26">
      <v>510.4</v>
    </nc>
  </rcc>
  <rcc rId="3712" sId="1" numFmtId="4">
    <oc r="G26">
      <v>321</v>
    </oc>
    <nc r="G26">
      <v>510.4</v>
    </nc>
  </rcc>
  <rcc rId="3713" sId="1" numFmtId="4">
    <nc r="F27">
      <v>35</v>
    </nc>
  </rcc>
  <rcc rId="3714" sId="1" numFmtId="4">
    <nc r="G27">
      <v>35</v>
    </nc>
  </rcc>
  <rcc rId="3715" sId="1" numFmtId="4">
    <nc r="F28">
      <v>500</v>
    </nc>
  </rcc>
  <rcc rId="3716" sId="1" numFmtId="4">
    <nc r="G28">
      <v>500</v>
    </nc>
  </rcc>
  <rcc rId="3717" sId="1" odxf="1" dxf="1">
    <nc r="A27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  <rcc rId="3718" sId="1" odxf="1" dxf="1">
    <nc r="A28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dn rId="0" localSheetId="1" customView="1" name="Z_A9EB50DC_BC7E_40F0_8A51_0BBE6B12FA5A_.wvu.PrintArea" hidden="1" oldHidden="1">
    <formula>Ведом.структура!$A$1:$G$416</formula>
  </rdn>
  <rdn rId="0" localSheetId="1" customView="1" name="Z_A9EB50DC_BC7E_40F0_8A51_0BBE6B12FA5A_.wvu.FilterData" hidden="1" oldHidden="1">
    <formula>Ведом.структура!$A$13:$G$425</formula>
  </rdn>
  <rcv guid="{A9EB50DC-BC7E-40F0-8A51-0BBE6B12FA5A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1" sId="1" numFmtId="4">
    <oc r="F19">
      <v>2051.3000000000002</v>
    </oc>
    <nc r="F19">
      <v>2901.9</v>
    </nc>
  </rcc>
  <rcc rId="3722" sId="1" numFmtId="4">
    <oc r="G19">
      <v>2051.3000000000002</v>
    </oc>
    <nc r="G19">
      <v>2901.9</v>
    </nc>
  </rcc>
  <rcc rId="3723" sId="1" numFmtId="4">
    <oc r="F20">
      <v>619.5</v>
    </oc>
    <nc r="F20">
      <v>876.4</v>
    </nc>
  </rcc>
  <rcc rId="3724" sId="1" numFmtId="4">
    <oc r="G20">
      <v>619.5</v>
    </oc>
    <nc r="G20">
      <v>876.4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5" sId="1" numFmtId="4">
    <oc r="F36">
      <v>10863.4</v>
    </oc>
    <nc r="F36">
      <v>14343</v>
    </nc>
  </rcc>
  <rcc rId="3726" sId="1" numFmtId="4">
    <oc r="G36">
      <v>10863.4</v>
    </oc>
    <nc r="G36">
      <v>14343</v>
    </nc>
  </rcc>
  <rcc rId="3727" sId="1" numFmtId="4">
    <oc r="F37">
      <v>3280.7</v>
    </oc>
    <nc r="F37">
      <v>4331.6000000000004</v>
    </nc>
  </rcc>
  <rcc rId="3728" sId="1" numFmtId="4">
    <oc r="G37">
      <v>3280.7</v>
    </oc>
    <nc r="G37">
      <v>4331.6000000000004</v>
    </nc>
  </rcc>
  <rcc rId="3729" sId="1" numFmtId="4">
    <oc r="F41">
      <v>10.5</v>
    </oc>
    <nc r="F41">
      <v>381.8</v>
    </nc>
  </rcc>
  <rrc rId="3730" sId="1" ref="A49:XFD49" action="insertRow"/>
  <rrc rId="3731" sId="1" ref="A49:XFD49" action="insertRow"/>
  <rcc rId="3732" sId="1">
    <nc r="B49" t="inlineStr">
      <is>
        <t>01</t>
      </is>
    </nc>
  </rcc>
  <rcc rId="3733" sId="1">
    <nc r="C49" t="inlineStr">
      <is>
        <t>06</t>
      </is>
    </nc>
  </rcc>
  <rcc rId="3734" sId="1">
    <nc r="D49" t="inlineStr">
      <is>
        <t>02101 81020</t>
      </is>
    </nc>
  </rcc>
  <rcc rId="3735" sId="1">
    <nc r="B50" t="inlineStr">
      <is>
        <t>01</t>
      </is>
    </nc>
  </rcc>
  <rcc rId="3736" sId="1">
    <nc r="C50" t="inlineStr">
      <is>
        <t>06</t>
      </is>
    </nc>
  </rcc>
  <rcc rId="3737" sId="1">
    <nc r="D50" t="inlineStr">
      <is>
        <t>02101 81020</t>
      </is>
    </nc>
  </rcc>
  <rcc rId="3738" sId="1">
    <nc r="E49" t="inlineStr">
      <is>
        <t>242</t>
      </is>
    </nc>
  </rcc>
  <rcc rId="3739" sId="1">
    <nc r="E50" t="inlineStr">
      <is>
        <t>244</t>
      </is>
    </nc>
  </rcc>
  <rcc rId="3740" sId="1" numFmtId="4">
    <oc r="F47">
      <v>5064.6000000000004</v>
    </oc>
    <nc r="F47">
      <v>8116.3</v>
    </nc>
  </rcc>
  <rcc rId="3741" sId="1" numFmtId="4">
    <oc r="G47">
      <v>5064.6000000000004</v>
    </oc>
    <nc r="G47">
      <v>8116.3</v>
    </nc>
  </rcc>
  <rcc rId="3742" sId="1" numFmtId="4">
    <oc r="F48">
      <v>1529.5</v>
    </oc>
    <nc r="F48">
      <v>2451.1</v>
    </nc>
  </rcc>
  <rcc rId="3743" sId="1" numFmtId="4">
    <oc r="G48">
      <v>1529.5</v>
    </oc>
    <nc r="G48">
      <v>2451.1</v>
    </nc>
  </rcc>
  <rcc rId="3744" sId="1" numFmtId="4">
    <nc r="F49">
      <v>1600</v>
    </nc>
  </rcc>
  <rcc rId="3745" sId="1" numFmtId="4">
    <nc r="G49">
      <v>1600</v>
    </nc>
  </rcc>
  <rcc rId="3746" sId="1" numFmtId="4">
    <nc r="F50">
      <v>500</v>
    </nc>
  </rcc>
  <rcc rId="3747" sId="1" numFmtId="4">
    <nc r="G50">
      <v>500</v>
    </nc>
  </rcc>
  <rcc rId="3748" sId="1" odxf="1" dxf="1">
    <nc r="A49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  <rcc rId="3749" sId="1">
    <nc r="A50" t="inlineStr">
      <is>
        <t>Прочие закупки товаров, работ и услуг для государственных (муниципальных) нужд</t>
      </is>
    </nc>
  </rcc>
  <rcc rId="3750" sId="1">
    <oc r="F46">
      <f>SUM(F47:F48)</f>
    </oc>
    <nc r="F46">
      <f>SUM(F47:F50)</f>
    </nc>
  </rcc>
  <rcc rId="3751" sId="1">
    <oc r="G46">
      <f>SUM(G47:G48)</f>
    </oc>
    <nc r="G46">
      <f>SUM(G47:G50)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2" sId="1">
    <oc r="F62">
      <f>208+208</f>
    </oc>
    <nc r="F62">
      <f>211</f>
    </nc>
  </rcc>
  <rcc rId="3753" sId="1">
    <oc r="G62">
      <f>208+208</f>
    </oc>
    <nc r="G62">
      <f>211</f>
    </nc>
  </rcc>
  <rcc rId="3754" sId="1" numFmtId="4">
    <oc r="F69">
      <v>300</v>
    </oc>
    <nc r="F69">
      <v>400</v>
    </nc>
  </rcc>
  <rcc rId="3755" sId="1" numFmtId="4">
    <oc r="G69">
      <v>300</v>
    </oc>
    <nc r="G69">
      <v>400</v>
    </nc>
  </rcc>
  <rcc rId="3756" sId="1" numFmtId="4">
    <oc r="F86">
      <v>180</v>
    </oc>
    <nc r="F86">
      <v>265</v>
    </nc>
  </rcc>
  <rcc rId="3757" sId="1" numFmtId="4">
    <oc r="G86">
      <v>180</v>
    </oc>
    <nc r="G86">
      <v>265</v>
    </nc>
  </rcc>
  <rcc rId="3758" sId="1" numFmtId="4">
    <oc r="F74">
      <v>4503.8</v>
    </oc>
    <nc r="F74">
      <v>7116.9</v>
    </nc>
  </rcc>
  <rcc rId="3759" sId="1" numFmtId="4">
    <oc r="G74">
      <v>4503.8</v>
    </oc>
    <nc r="G74">
      <v>7116.9</v>
    </nc>
  </rcc>
  <rcc rId="3760" sId="1" numFmtId="4">
    <oc r="F75">
      <v>1360.2</v>
    </oc>
    <nc r="F75">
      <v>2149.3000000000002</v>
    </nc>
  </rcc>
  <rcc rId="3761" sId="1" numFmtId="4">
    <oc r="G75">
      <v>1360.2</v>
    </oc>
    <nc r="G75">
      <v>2149.3000000000002</v>
    </nc>
  </rcc>
  <rrc rId="3762" sId="1" ref="A76:XFD76" action="insertRow"/>
  <rrc rId="3763" sId="1" ref="A76:XFD76" action="insertRow"/>
  <rrc rId="3764" sId="1" ref="A76:XFD76" action="insertRow"/>
  <rcc rId="3765" sId="1" odxf="1" dxf="1">
    <nc r="A76" t="inlineStr">
      <is>
        <t>Расходы на обеспечение деятельности учреждения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3766" sId="1">
    <nc r="A77" t="inlineStr">
      <is>
        <t>Закупка товаров, работ и услуг в сфере информационно-коммуникационных технологий</t>
      </is>
    </nc>
  </rcc>
  <rcc rId="3767" sId="1">
    <nc r="A78" t="inlineStr">
      <is>
        <t>Прочие закупки товаров, работ и услуг для государственных (муниципальных) нужд</t>
      </is>
    </nc>
  </rcc>
  <rcc rId="3768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69" sId="1" odxf="1" dxf="1">
    <nc r="C76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0" sId="1" odxf="1" dxf="1">
    <nc r="D76" t="inlineStr">
      <is>
        <t>04102 82100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cc rId="3771" sId="1" odxf="1" dxf="1">
    <nc r="F76">
      <f>SUM(F77:F78)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2" sId="1" odxf="1" dxf="1">
    <nc r="G76">
      <f>SUM(G77:G78)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3" sId="1">
    <nc r="B77" t="inlineStr">
      <is>
        <t>01</t>
      </is>
    </nc>
  </rcc>
  <rcc rId="3774" sId="1">
    <nc r="C77" t="inlineStr">
      <is>
        <t>13</t>
      </is>
    </nc>
  </rcc>
  <rcc rId="3775" sId="1">
    <nc r="D77" t="inlineStr">
      <is>
        <t>04102 82150</t>
      </is>
    </nc>
  </rcc>
  <rcc rId="3776" sId="1">
    <nc r="E77" t="inlineStr">
      <is>
        <t>242</t>
      </is>
    </nc>
  </rcc>
  <rcc rId="3777" sId="1" numFmtId="4">
    <nc r="F77">
      <v>250</v>
    </nc>
  </rcc>
  <rcc rId="3778" sId="1" numFmtId="4">
    <nc r="G77">
      <v>250</v>
    </nc>
  </rcc>
  <rcc rId="3779" sId="1">
    <nc r="B78" t="inlineStr">
      <is>
        <t>01</t>
      </is>
    </nc>
  </rcc>
  <rcc rId="3780" sId="1">
    <nc r="C78" t="inlineStr">
      <is>
        <t>13</t>
      </is>
    </nc>
  </rcc>
  <rcc rId="3781" sId="1">
    <nc r="D78" t="inlineStr">
      <is>
        <t>04102 82150</t>
      </is>
    </nc>
  </rcc>
  <rcc rId="3782" sId="1">
    <nc r="E78" t="inlineStr">
      <is>
        <t>244</t>
      </is>
    </nc>
  </rcc>
  <rcc rId="3783" sId="1" numFmtId="4">
    <nc r="F78">
      <v>100</v>
    </nc>
  </rcc>
  <rcc rId="3784" sId="1" numFmtId="4">
    <nc r="G78">
      <v>100</v>
    </nc>
  </rcc>
  <rcc rId="3785" sId="1">
    <oc r="F72">
      <f>F73</f>
    </oc>
    <nc r="F72">
      <f>F73+F76</f>
    </nc>
  </rcc>
  <rcc rId="3786" sId="1">
    <oc r="G72">
      <f>G73</f>
    </oc>
    <nc r="G72">
      <f>G73+G76</f>
    </nc>
  </rcc>
  <rcc rId="3787" sId="1" numFmtId="4">
    <oc r="F81">
      <v>350</v>
    </oc>
    <nc r="F81">
      <v>800</v>
    </nc>
  </rcc>
  <rcc rId="3788" sId="1" numFmtId="4">
    <oc r="G81">
      <v>350</v>
    </oc>
    <nc r="G81">
      <v>800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9" sId="1" numFmtId="4">
    <oc r="F101">
      <v>69.7</v>
    </oc>
    <nc r="F101"/>
  </rcc>
  <rcc rId="3790" sId="1" numFmtId="4">
    <oc r="G101">
      <v>69.7</v>
    </oc>
    <nc r="G101"/>
  </rcc>
  <rcc rId="3791" sId="1" numFmtId="4">
    <oc r="F100">
      <v>230.8</v>
    </oc>
    <nc r="F100">
      <v>412.2</v>
    </nc>
  </rcc>
  <rcc rId="3792" sId="1" numFmtId="4">
    <oc r="G100">
      <v>230.8</v>
    </oc>
    <nc r="G100">
      <v>412.2</v>
    </nc>
  </rcc>
  <rcc rId="3793" sId="1" numFmtId="4">
    <oc r="F104">
      <v>4</v>
    </oc>
    <nc r="F104"/>
  </rcc>
  <rcc rId="3794" sId="1" numFmtId="4">
    <oc r="G104">
      <v>4</v>
    </oc>
    <nc r="G104"/>
  </rcc>
  <rcc rId="3795" sId="1" numFmtId="4">
    <oc r="F105">
      <v>151.30000000000001</v>
    </oc>
    <nc r="F105"/>
  </rcc>
  <rcc rId="3796" sId="1" numFmtId="4">
    <oc r="G105">
      <v>151.30000000000001</v>
    </oc>
    <nc r="G105"/>
  </rcc>
  <rcc rId="3797" sId="1" numFmtId="4">
    <oc r="F106">
      <v>40.6</v>
    </oc>
    <nc r="F106"/>
  </rcc>
  <rcc rId="3798" sId="1" numFmtId="4">
    <oc r="G106">
      <v>40.6</v>
    </oc>
    <nc r="G106"/>
  </rcc>
  <rcc rId="3799" sId="1" numFmtId="4">
    <oc r="F107">
      <v>92.9</v>
    </oc>
    <nc r="F107"/>
  </rcc>
  <rcc rId="3800" sId="1" numFmtId="4">
    <oc r="G107">
      <v>92.9</v>
    </oc>
    <nc r="G107"/>
  </rcc>
  <rcc rId="3801" sId="1" numFmtId="4">
    <oc r="F103">
      <v>501.3</v>
    </oc>
    <nc r="F103">
      <v>923.5</v>
    </nc>
  </rcc>
  <rcc rId="3802" sId="1" numFmtId="4">
    <oc r="G103">
      <v>501.3</v>
    </oc>
    <nc r="G103">
      <v>923.5</v>
    </nc>
  </rcc>
  <rcc rId="3803" sId="1" numFmtId="4">
    <oc r="F110">
      <v>108.39</v>
    </oc>
    <nc r="F110"/>
  </rcc>
  <rcc rId="3804" sId="1" numFmtId="4">
    <oc r="G110">
      <v>108.39</v>
    </oc>
    <nc r="G110"/>
  </rcc>
  <rcc rId="3805" sId="1" numFmtId="4">
    <oc r="F111">
      <v>22</v>
    </oc>
    <nc r="F111"/>
  </rcc>
  <rcc rId="3806" sId="1" numFmtId="4">
    <oc r="G111">
      <v>22</v>
    </oc>
    <nc r="G111"/>
  </rcc>
  <rcc rId="3807" sId="1" numFmtId="4">
    <oc r="F112">
      <v>24.21</v>
    </oc>
    <nc r="F112"/>
  </rcc>
  <rcc rId="3808" sId="1" numFmtId="4">
    <oc r="G112">
      <v>24.21</v>
    </oc>
    <nc r="G112"/>
  </rcc>
  <rcc rId="3809" sId="1" numFmtId="4">
    <oc r="F109">
      <v>358.9</v>
    </oc>
    <nc r="F109">
      <v>600</v>
    </nc>
  </rcc>
  <rcc rId="3810" sId="1" numFmtId="4">
    <oc r="G109">
      <v>358.9</v>
    </oc>
    <nc r="G109">
      <v>600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1" sId="1" numFmtId="4">
    <oc r="F114">
      <v>3696</v>
    </oc>
    <nc r="F114">
      <f>1990.8+601.2</f>
    </nc>
  </rcc>
  <rcc rId="3812" sId="1" numFmtId="4">
    <oc r="G114">
      <v>3696</v>
    </oc>
    <nc r="G114">
      <f>1990.8+601.2</f>
    </nc>
  </rcc>
  <rcc rId="3813" sId="1" numFmtId="4">
    <oc r="F117">
      <v>15644.7</v>
    </oc>
    <nc r="F117">
      <v>21232.3</v>
    </nc>
  </rcc>
  <rcc rId="3814" sId="1" numFmtId="4">
    <oc r="G117">
      <v>15644.7</v>
    </oc>
    <nc r="G117">
      <v>21232.3</v>
    </nc>
  </rcc>
  <rcc rId="3815" sId="1" numFmtId="4">
    <oc r="F118">
      <v>4724.7</v>
    </oc>
    <nc r="F118">
      <v>6412.2</v>
    </nc>
  </rcc>
  <rcc rId="3816" sId="1" numFmtId="4">
    <oc r="G118">
      <v>4724.7</v>
    </oc>
    <nc r="G118">
      <v>6412.2</v>
    </nc>
  </rcc>
  <rcc rId="3817" sId="1" numFmtId="4">
    <oc r="F119">
      <v>65</v>
    </oc>
    <nc r="F119">
      <v>1100</v>
    </nc>
  </rcc>
  <rcc rId="3818" sId="1" numFmtId="4">
    <oc r="G119">
      <v>65</v>
    </oc>
    <nc r="G119">
      <v>1100</v>
    </nc>
  </rcc>
  <rcc rId="3819" sId="1" numFmtId="4">
    <oc r="F120">
      <v>2247.5</v>
    </oc>
    <nc r="F120">
      <f>14900+2129.735</f>
    </nc>
  </rcc>
  <rcc rId="3820" sId="1" numFmtId="4">
    <oc r="G120">
      <v>2247.5</v>
    </oc>
    <nc r="G120">
      <v>14900</v>
    </nc>
  </rcc>
  <rcc rId="3821" sId="1" numFmtId="4">
    <oc r="F121">
      <v>90</v>
    </oc>
    <nc r="F121">
      <v>2550</v>
    </nc>
  </rcc>
  <rcc rId="3822" sId="1" numFmtId="4">
    <oc r="G121">
      <v>90</v>
    </oc>
    <nc r="G121">
      <v>2550</v>
    </nc>
  </rcc>
  <rcc rId="3823" sId="1" numFmtId="4">
    <oc r="F122">
      <v>50</v>
    </oc>
    <nc r="F122">
      <v>39.1</v>
    </nc>
  </rcc>
  <rcc rId="3824" sId="1" numFmtId="4">
    <oc r="G122">
      <v>50</v>
    </oc>
    <nc r="G122">
      <v>39.1</v>
    </nc>
  </rcc>
  <rcc rId="3825" sId="1">
    <oc r="F124">
      <f>10869+543.5</f>
    </oc>
    <nc r="F124">
      <f>9321+288.3</f>
    </nc>
  </rcc>
  <rcc rId="3826" sId="1" numFmtId="4">
    <oc r="G124">
      <v>0</v>
    </oc>
    <nc r="G124">
      <f>9321+288.3</f>
    </nc>
  </rcc>
  <rrc rId="3827" sId="1" ref="A115:XFD116" action="insertRow"/>
  <rfmt sheetId="1" sqref="A115" start="0" length="0">
    <dxf>
      <font>
        <i/>
        <color indexed="8"/>
        <name val="Times New Roman"/>
        <family val="1"/>
      </font>
      <alignment horizontal="left"/>
    </dxf>
  </rfmt>
  <rcc rId="3828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29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fmt sheetId="1" sqref="F115" start="0" length="0">
    <dxf>
      <font>
        <i/>
        <name val="Times New Roman"/>
        <family val="1"/>
      </font>
    </dxf>
  </rfmt>
  <rfmt sheetId="1" sqref="G115" start="0" length="0">
    <dxf>
      <font>
        <i/>
        <name val="Times New Roman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3830" sId="1">
    <nc r="B116" t="inlineStr">
      <is>
        <t>01</t>
      </is>
    </nc>
  </rcc>
  <rcc rId="3831" sId="1">
    <nc r="C116" t="inlineStr">
      <is>
        <t>13</t>
      </is>
    </nc>
  </rcc>
  <rcc rId="3832" sId="1">
    <nc r="D115" t="inlineStr">
      <is>
        <t>99900 83220</t>
      </is>
    </nc>
  </rcc>
  <rcc rId="3833" sId="1">
    <nc r="D116" t="inlineStr">
      <is>
        <t>99900 83220</t>
      </is>
    </nc>
  </rcc>
  <rrc rId="3834" sId="1" ref="A116:XFD116" action="insertRow"/>
  <rfmt sheetId="1" sqref="A116" start="0" length="0">
    <dxf>
      <font>
        <i val="0"/>
        <color indexed="8"/>
        <name val="Times New Roman"/>
        <family val="1"/>
      </font>
      <alignment horizontal="general"/>
    </dxf>
  </rfmt>
  <rcc rId="3835" sId="1" odxf="1" dxf="1">
    <nc r="B11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6" sId="1" odxf="1" dxf="1">
    <nc r="C11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7" sId="1" odxf="1" dxf="1">
    <nc r="D116" t="inlineStr">
      <is>
        <t>99900 83220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6" start="0" length="0">
    <dxf>
      <font>
        <i val="0"/>
        <name val="Times New Roman"/>
        <family val="1"/>
      </font>
    </dxf>
  </rfmt>
  <rfmt sheetId="1" sqref="F116" start="0" length="0">
    <dxf>
      <font>
        <i val="0"/>
        <name val="Times New Roman"/>
        <family val="1"/>
      </font>
    </dxf>
  </rfmt>
  <rfmt sheetId="1" sqref="G116" start="0" length="0">
    <dxf>
      <font>
        <i val="0"/>
        <name val="Times New Roman"/>
        <family val="1"/>
      </font>
    </dxf>
  </rfmt>
  <rcc rId="3838" sId="1">
    <nc r="E116" t="inlineStr">
      <is>
        <t>111</t>
      </is>
    </nc>
  </rcc>
  <rcc rId="3839" sId="1">
    <nc r="E117" t="inlineStr">
      <is>
        <t>119</t>
      </is>
    </nc>
  </rcc>
  <rcc rId="3840" sId="1">
    <nc r="F115">
      <f>SUM(F116:F117)</f>
    </nc>
  </rcc>
  <rcc rId="3841" sId="1">
    <nc r="G115">
      <f>SUM(G116:G117)</f>
    </nc>
  </rcc>
  <rcc rId="3842" sId="1">
    <nc r="A115" t="inlineStr">
      <is>
        <t>Расходы на обеспечение деятельности учреждений по инфраструктуре</t>
      </is>
    </nc>
  </rcc>
  <rcc rId="3843" sId="1" odxf="1" dxf="1">
    <nc r="A116" t="inlineStr">
      <is>
        <t xml:space="preserve">Фонд оплаты труда учреждений </t>
      </is>
    </nc>
    <ndxf>
      <numFmt numFmtId="30" formatCode="@"/>
      <alignment horizontal="left" vertical="top"/>
    </ndxf>
  </rcc>
  <rcc rId="3844" sId="1" odxf="1" dxf="1">
    <nc r="A1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845" sId="1" numFmtId="4">
    <nc r="F116">
      <v>6876.8</v>
    </nc>
  </rcc>
  <rcc rId="3846" sId="1" numFmtId="4">
    <nc r="G116">
      <v>6876.8</v>
    </nc>
  </rcc>
  <rcc rId="3847" sId="1" numFmtId="4">
    <nc r="F117">
      <v>2076.8000000000002</v>
    </nc>
  </rcc>
  <rcc rId="3848" sId="1" numFmtId="4">
    <nc r="G117">
      <v>2076.8000000000002</v>
    </nc>
  </rcc>
  <rrc rId="3849" sId="1" ref="A113:XFD113" action="insertRow"/>
  <rfmt sheetId="1" sqref="A113" start="0" length="0">
    <dxf>
      <font>
        <i/>
        <color indexed="8"/>
        <name val="Times New Roman"/>
        <family val="1"/>
      </font>
    </dxf>
  </rfmt>
  <rcc rId="3850" sId="1" odxf="1" dxf="1">
    <nc r="B1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51" sId="1" odxf="1" dxf="1">
    <nc r="C11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3" start="0" length="0">
    <dxf>
      <font>
        <i/>
        <name val="Times New Roman"/>
        <family val="1"/>
      </font>
    </dxf>
  </rfmt>
  <rfmt sheetId="1" sqref="E113" start="0" length="0">
    <dxf>
      <font>
        <i/>
        <name val="Times New Roman"/>
        <family val="1"/>
      </font>
    </dxf>
  </rfmt>
  <rfmt sheetId="1" sqref="F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852" sId="1">
    <nc r="D113" t="inlineStr">
      <is>
        <t>99900 83200</t>
      </is>
    </nc>
  </rcc>
  <rcc rId="3853" sId="1">
    <nc r="F113">
      <f>F114+F116</f>
    </nc>
  </rcc>
  <rcc rId="3854" sId="1">
    <nc r="G113">
      <f>G114+G116</f>
    </nc>
  </rcc>
  <rcc rId="3855" sId="1" odxf="1" dxf="1">
    <nc r="A113" t="inlineStr">
      <is>
        <t>Расходы на обеспечение деятельности (оказание услуг) муниципальных учреждений</t>
      </is>
    </nc>
    <ndxf>
      <font>
        <b/>
        <i val="0"/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fmt sheetId="1" sqref="B113:G113" start="0" length="2147483647">
    <dxf>
      <font>
        <i val="0"/>
      </font>
    </dxf>
  </rfmt>
  <rfmt sheetId="1" sqref="B113:G113" start="0" length="2147483647">
    <dxf>
      <font>
        <b/>
      </font>
    </dxf>
  </rfmt>
  <rcc rId="3856" sId="1">
    <oc r="F98">
      <f>F99+F102+F108+F114+F119+F127</f>
    </oc>
    <nc r="F98">
      <f>F99+F102+F108+F113+F119+F127</f>
    </nc>
  </rcc>
  <rcc rId="3857" sId="1">
    <oc r="G98">
      <f>G99+G102+G108+G114+G119+G127</f>
    </oc>
    <nc r="G98">
      <f>G99+G102+G108+G113+G119+G127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8" sId="1" numFmtId="4">
    <oc r="F143">
      <v>311</v>
    </oc>
    <nc r="F143">
      <v>136</v>
    </nc>
  </rcc>
  <rcc rId="3859" sId="1" numFmtId="4">
    <oc r="G143">
      <v>0</v>
    </oc>
    <nc r="G143">
      <v>136</v>
    </nc>
  </rcc>
  <rcc rId="3860" sId="1" numFmtId="4">
    <oc r="F145">
      <v>1.3</v>
    </oc>
    <nc r="F145">
      <v>1.383</v>
    </nc>
  </rcc>
  <rcc rId="3861" sId="1" numFmtId="4">
    <oc r="G145">
      <v>0</v>
    </oc>
    <nc r="G145">
      <v>1.383</v>
    </nc>
  </rcc>
  <rcc rId="3862" sId="1" numFmtId="4">
    <oc r="F146">
      <v>0.4</v>
    </oc>
    <nc r="F146">
      <v>0.41699999999999998</v>
    </nc>
  </rcc>
  <rcc rId="3863" sId="1" numFmtId="4">
    <oc r="G146">
      <v>0</v>
    </oc>
    <nc r="G146">
      <v>0.41699999999999998</v>
    </nc>
  </rcc>
  <rcc rId="3864" sId="1" numFmtId="4">
    <oc r="F148">
      <v>149.6</v>
    </oc>
    <nc r="F148">
      <v>151.5</v>
    </nc>
  </rcc>
  <rcc rId="3865" sId="1" numFmtId="4">
    <oc r="G148">
      <v>149.6</v>
    </oc>
    <nc r="G148">
      <v>151.5</v>
    </nc>
  </rcc>
  <rcc rId="3866" sId="1" numFmtId="4">
    <oc r="F159">
      <v>2607.9</v>
    </oc>
    <nc r="F159">
      <v>2845.5</v>
    </nc>
  </rcc>
  <rcc rId="3867" sId="1" numFmtId="4">
    <oc r="G159">
      <v>2607.9</v>
    </oc>
    <nc r="G159">
      <v>2845.5</v>
    </nc>
  </rcc>
  <rcc rId="3868" sId="1" numFmtId="4">
    <oc r="F160">
      <v>787.6</v>
    </oc>
    <nc r="F160">
      <v>859.3</v>
    </nc>
  </rcc>
  <rcc rId="3869" sId="1" numFmtId="4">
    <oc r="G160">
      <v>787.6</v>
    </oc>
    <nc r="G160">
      <v>859.3</v>
    </nc>
  </rcc>
  <rcc rId="3870" sId="1" numFmtId="4">
    <oc r="F150">
      <v>38.799999999999997</v>
    </oc>
    <nc r="F150">
      <v>17.2</v>
    </nc>
  </rcc>
  <rcc rId="3871" sId="1" numFmtId="4">
    <oc r="G150">
      <v>38.799999999999997</v>
    </oc>
    <nc r="G150">
      <v>17.2</v>
    </nc>
  </rcc>
  <rcc rId="3872" sId="1" numFmtId="4">
    <oc r="F151">
      <v>11.7</v>
    </oc>
    <nc r="F151">
      <v>5.2</v>
    </nc>
  </rcc>
  <rcc rId="3873" sId="1" numFmtId="4">
    <oc r="G151">
      <v>11.7</v>
    </oc>
    <nc r="G151">
      <v>5.2</v>
    </nc>
  </rcc>
  <rcc rId="3874" sId="1" odxf="1" dxf="1" numFmtId="4">
    <oc r="F155">
      <v>17.2</v>
    </oc>
    <nc r="F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5" sId="1" odxf="1" dxf="1" numFmtId="4">
    <oc r="G155">
      <v>17.2</v>
    </oc>
    <nc r="G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6" sId="1" numFmtId="4">
    <oc r="F156">
      <v>5.2</v>
    </oc>
    <nc r="F156">
      <v>5.3</v>
    </nc>
  </rcc>
  <rcc rId="3877" sId="1" numFmtId="4">
    <oc r="G156">
      <v>5.2</v>
    </oc>
    <nc r="G156">
      <v>5.3</v>
    </nc>
  </rcc>
  <rcc rId="3878" sId="1" numFmtId="4">
    <oc r="F153">
      <v>3366.9</v>
    </oc>
    <nc r="F153">
      <v>1493.4</v>
    </nc>
  </rcc>
  <rcc rId="3879" sId="1" numFmtId="4">
    <oc r="G153">
      <v>3366.9</v>
    </oc>
    <nc r="G153">
      <v>1493.4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0" sId="1" numFmtId="4">
    <oc r="F170">
      <v>100000</v>
    </oc>
    <nc r="F170">
      <f>100000+3000</f>
    </nc>
  </rcc>
  <rcc rId="3881" sId="1" numFmtId="4">
    <oc r="G170">
      <v>100000</v>
    </oc>
    <nc r="G170">
      <f>100000+3000</f>
    </nc>
  </rcc>
  <rfmt sheetId="1" sqref="B169" start="0" length="0">
    <dxf>
      <fill>
        <patternFill patternType="solid">
          <bgColor theme="0"/>
        </patternFill>
      </fill>
    </dxf>
  </rfmt>
  <rfmt sheetId="1" sqref="C169" start="0" length="0">
    <dxf>
      <fill>
        <patternFill patternType="solid">
          <bgColor theme="0"/>
        </patternFill>
      </fill>
    </dxf>
  </rfmt>
  <rcc rId="3882" sId="1">
    <oc r="D169" t="inlineStr">
      <is>
        <t>043R1 722Д0</t>
      </is>
    </oc>
    <nc r="D169" t="inlineStr">
      <is>
        <t>043R1 9Д001</t>
      </is>
    </nc>
  </rcc>
  <rfmt sheetId="1" sqref="E169" start="0" length="0">
    <dxf>
      <fill>
        <patternFill patternType="solid">
          <bgColor theme="0"/>
        </patternFill>
      </fill>
    </dxf>
  </rfmt>
  <rfmt sheetId="1" sqref="B170" start="0" length="0">
    <dxf>
      <fill>
        <patternFill patternType="solid">
          <bgColor theme="0"/>
        </patternFill>
      </fill>
    </dxf>
  </rfmt>
  <rfmt sheetId="1" sqref="C170" start="0" length="0">
    <dxf>
      <fill>
        <patternFill patternType="solid">
          <bgColor theme="0"/>
        </patternFill>
      </fill>
    </dxf>
  </rfmt>
  <rcc rId="3883" sId="1">
    <oc r="D170" t="inlineStr">
      <is>
        <t>043R1 722Д0</t>
      </is>
    </oc>
    <nc r="D170" t="inlineStr">
      <is>
        <t>043R1 9Д001</t>
      </is>
    </nc>
  </rcc>
  <rcc rId="3884" sId="1" odxf="1" dxf="1">
    <oc r="E170" t="inlineStr">
      <is>
        <t>244</t>
      </is>
    </oc>
    <nc r="E170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169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dxf>
  </rfmt>
  <rcc rId="3885" sId="1" odxf="1" dxf="1">
    <oc r="A170" t="inlineStr">
      <is>
        <t>Прочие закупки товаров, работ и услуг для государственных (муниципальных) нужд</t>
      </is>
    </oc>
    <nc r="A170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3886" sId="1" numFmtId="4">
    <oc r="F166">
      <v>17764.599999999999</v>
    </oc>
    <nc r="F166">
      <f>17764.6-44.16-3000</f>
    </nc>
  </rcc>
  <rcc rId="3887" sId="1" numFmtId="4">
    <oc r="G166">
      <v>17764.599999999999</v>
    </oc>
    <nc r="G166">
      <f>17764.6-44.16-3000</f>
    </nc>
  </rcc>
  <rcc rId="3888" sId="1" numFmtId="4">
    <oc r="F168">
      <v>112975.6</v>
    </oc>
    <nc r="F168">
      <f>1427.8+44.16</f>
    </nc>
  </rcc>
  <rcc rId="3889" sId="1" numFmtId="4">
    <oc r="G168">
      <v>713.9</v>
    </oc>
    <nc r="G168">
      <f>1427.8+44.16</f>
    </nc>
  </rcc>
  <rfmt sheetId="1" sqref="A167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3890" sId="1" odxf="1" dxf="1">
    <oc r="A168" t="inlineStr">
      <is>
        <t>Субсидии автономным учреждениям на иные цели</t>
      </is>
    </oc>
    <nc r="A168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67" start="0" length="0">
    <dxf>
      <fill>
        <patternFill>
          <bgColor theme="0"/>
        </patternFill>
      </fill>
    </dxf>
  </rfmt>
  <rfmt sheetId="1" sqref="C167" start="0" length="0">
    <dxf>
      <fill>
        <patternFill>
          <bgColor theme="0"/>
        </patternFill>
      </fill>
    </dxf>
  </rfmt>
  <rcc rId="3891" sId="1" odxf="1" dxf="1">
    <oc r="D167" t="inlineStr">
      <is>
        <t>04304 S21Д0</t>
      </is>
    </oc>
    <nc r="D167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67" start="0" length="0">
    <dxf>
      <fill>
        <patternFill>
          <bgColor theme="0"/>
        </patternFill>
      </fill>
    </dxf>
  </rfmt>
  <rfmt sheetId="1" sqref="B168" start="0" length="0">
    <dxf>
      <fill>
        <patternFill>
          <bgColor theme="0"/>
        </patternFill>
      </fill>
    </dxf>
  </rfmt>
  <rfmt sheetId="1" sqref="C168" start="0" length="0">
    <dxf>
      <fill>
        <patternFill>
          <bgColor theme="0"/>
        </patternFill>
      </fill>
    </dxf>
  </rfmt>
  <rcc rId="3892" sId="1" odxf="1" dxf="1">
    <oc r="D168" t="inlineStr">
      <is>
        <t>04304 S21Д0</t>
      </is>
    </oc>
    <nc r="D168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3893" sId="1">
    <oc r="E168" t="inlineStr">
      <is>
        <t>622</t>
      </is>
    </oc>
    <nc r="E168" t="inlineStr">
      <is>
        <t>540</t>
      </is>
    </nc>
  </rcc>
  <rrc rId="3894" sId="1" ref="A167:XFD168" action="insertRow"/>
  <rm rId="3895" sheetId="1" source="A171:XFD172" destination="A167:XFD168" sourceSheetId="1">
    <rfmt sheetId="1" xfDxf="1" sqref="A167:XFD167" start="0" length="0">
      <dxf>
        <font>
          <name val="Times New Roman CYR"/>
          <family val="1"/>
        </font>
        <alignment wrapText="1"/>
      </dxf>
    </rfmt>
    <rfmt sheetId="1" xfDxf="1" sqref="A168:XFD168" start="0" length="0">
      <dxf>
        <font>
          <name val="Times New Roman CYR"/>
          <family val="1"/>
        </font>
        <alignment wrapText="1"/>
      </dxf>
    </rfmt>
    <rfmt sheetId="1" sqref="A16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896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rc rId="3897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00" sId="1">
    <oc r="F176">
      <f>120+30</f>
    </oc>
    <nc r="F176"/>
  </rcc>
  <rcc rId="3901" sId="1">
    <oc r="G176">
      <f>120+30</f>
    </oc>
    <nc r="G176"/>
  </rcc>
  <rrc rId="3902" sId="1" ref="A172:XFD172" action="deleteRow">
    <undo index="65535" exp="ref" v="1" dr="G172" r="G171" sId="1"/>
    <undo index="65535" exp="ref" v="1" dr="F172" r="F171" sId="1"/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3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4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5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6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171">
      <f>F184+#REF!+F172+F176+F180</f>
    </oc>
    <nc r="F171">
      <f>F184+F172+F176+F180</f>
    </nc>
  </rcc>
  <rcc rId="3908" sId="1">
    <oc r="G171">
      <f>G184+#REF!+G172+G176+G180</f>
    </oc>
    <nc r="G171">
      <f>G184+G172+G176+G180</f>
    </nc>
  </rcc>
  <rcc rId="3909" sId="1" numFmtId="4">
    <oc r="F186">
      <v>3.8</v>
    </oc>
    <nc r="F186">
      <v>4.5</v>
    </nc>
  </rcc>
  <rcc rId="3910" sId="1" numFmtId="4">
    <oc r="G186">
      <v>3.8</v>
    </oc>
    <nc r="G186">
      <v>4.5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1" sId="1">
    <oc r="F191">
      <f>512.4+512.4</f>
    </oc>
    <nc r="F191">
      <f>532+532</f>
    </nc>
  </rcc>
  <rcc rId="3912" sId="1" numFmtId="4">
    <oc r="G191">
      <v>0</v>
    </oc>
    <nc r="G191">
      <f>532+532</f>
    </nc>
  </rcc>
  <rrc rId="3913" sId="1" ref="A192:XFD193" action="insertRow"/>
  <rfmt sheetId="1" sqref="A192" start="0" length="0">
    <dxf>
      <font>
        <i/>
        <color indexed="8"/>
        <name val="Times New Roman"/>
        <family val="1"/>
      </font>
      <alignment horizontal="general" vertical="top"/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</dxf>
  </rfmt>
  <rfmt sheetId="1" sqref="G192" start="0" length="0">
    <dxf>
      <font>
        <i/>
        <name val="Times New Roman"/>
        <family val="1"/>
      </font>
    </dxf>
  </rfmt>
  <rrc rId="3914" sId="1" ref="A192:XFD193" action="insertRow"/>
  <rcc rId="3915" sId="1" odxf="1" dxf="1">
    <nc r="A192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center" vertical="top"/>
      <border outline="0">
        <left/>
        <right/>
        <top/>
        <bottom/>
      </border>
    </ndxf>
  </rcc>
  <rcc rId="3916" sId="1" odxf="1" dxf="1">
    <nc r="A193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3917" sId="1">
    <nc r="A194" t="inlineStr">
      <is>
        <t>Прочие мероприятия , связанные с выполнением обязательств ОМСУ</t>
      </is>
    </nc>
  </rcc>
  <rcc rId="3918" sId="1">
    <nc r="A195" t="inlineStr">
      <is>
        <t>Прочие закупки товаров, работ и услуг для государственных (муниципальных) нужд</t>
      </is>
    </nc>
  </rcc>
  <rcc rId="3919" sId="1" odxf="1" dxf="1">
    <nc r="B19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0" sId="1" odxf="1" dxf="1">
    <nc r="C192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1" sId="1" odxf="1" dxf="1">
    <nc r="D192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192" start="0" length="0">
    <dxf>
      <font>
        <b/>
        <name val="Times New Roman"/>
        <family val="1"/>
      </font>
    </dxf>
  </rfmt>
  <rcc rId="3922" sId="1" odxf="1" dxf="1">
    <nc r="F192">
      <f>F193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3" sId="1" odxf="1" dxf="1">
    <nc r="G192">
      <f>G193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4" sId="1" odxf="1" dxf="1">
    <nc r="B19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5" sId="1" odxf="1" dxf="1">
    <nc r="C19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D193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3" start="0" length="0">
    <dxf>
      <font>
        <i/>
        <name val="Times New Roman"/>
        <family val="1"/>
      </font>
    </dxf>
  </rfmt>
  <rcc rId="3927" sId="1" odxf="1" dxf="1">
    <nc r="F193">
      <f>F194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8" sId="1" odxf="1" dxf="1">
    <nc r="G193">
      <f>G194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9" sId="1">
    <nc r="B194" t="inlineStr">
      <is>
        <t>05</t>
      </is>
    </nc>
  </rcc>
  <rcc rId="3930" sId="1">
    <nc r="C194" t="inlineStr">
      <is>
        <t>02</t>
      </is>
    </nc>
  </rcc>
  <rcc rId="3931" sId="1">
    <nc r="D194" t="inlineStr">
      <is>
        <t>17001 82900</t>
      </is>
    </nc>
  </rcc>
  <rcc rId="3932" sId="1">
    <nc r="F194">
      <f>SUM(F195:F195)</f>
    </nc>
  </rcc>
  <rcc rId="3933" sId="1">
    <nc r="G194">
      <f>SUM(G195:G195)</f>
    </nc>
  </rcc>
  <rcc rId="3934" sId="1">
    <nc r="B195" t="inlineStr">
      <is>
        <t>05</t>
      </is>
    </nc>
  </rcc>
  <rcc rId="3935" sId="1">
    <nc r="C195" t="inlineStr">
      <is>
        <t>02</t>
      </is>
    </nc>
  </rcc>
  <rcc rId="3936" sId="1">
    <nc r="D195" t="inlineStr">
      <is>
        <t>17001 82900</t>
      </is>
    </nc>
  </rcc>
  <rcc rId="3937" sId="1">
    <nc r="E195" t="inlineStr">
      <is>
        <t>244</t>
      </is>
    </nc>
  </rcc>
  <rcc rId="3938" sId="1" numFmtId="4">
    <nc r="F195">
      <v>750</v>
    </nc>
  </rcc>
  <rcc rId="3939" sId="1" numFmtId="4">
    <nc r="G195">
      <v>750</v>
    </nc>
  </rcc>
  <rrc rId="3940" sId="1" ref="A189:XFD192" action="insertRow"/>
  <rm rId="3941" sheetId="1" source="A196:XFD199" destination="A189:XFD192" sourceSheetId="1">
    <rfmt sheetId="1" xfDxf="1" sqref="A189:XFD189" start="0" length="0">
      <dxf>
        <font>
          <i/>
          <name val="Times New Roman CYR"/>
          <family val="1"/>
        </font>
        <alignment wrapText="1"/>
      </dxf>
    </rfmt>
    <rfmt sheetId="1" xfDxf="1" sqref="A190:XFD190" start="0" length="0">
      <dxf>
        <font>
          <i/>
          <name val="Times New Roman CYR"/>
          <family val="1"/>
        </font>
        <alignment wrapText="1"/>
      </dxf>
    </rfmt>
    <rfmt sheetId="1" xfDxf="1" sqref="A191:XFD191" start="0" length="0">
      <dxf>
        <font>
          <i/>
          <name val="Times New Roman CYR"/>
          <family val="1"/>
        </font>
        <alignment wrapText="1"/>
      </dxf>
    </rfmt>
    <rfmt sheetId="1" xfDxf="1" sqref="A192:XFD192" start="0" length="0">
      <dxf>
        <font>
          <i/>
          <name val="Times New Roman CYR"/>
          <family val="1"/>
        </font>
        <alignment wrapText="1"/>
      </dxf>
    </rfmt>
    <rfmt sheetId="1" sqref="A189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0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1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942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3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4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5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cc rId="3946" sId="1">
    <oc r="F188">
      <f>F193</f>
    </oc>
    <nc r="F188">
      <f>F193+F189</f>
    </nc>
  </rcc>
  <rcc rId="3947" sId="1">
    <oc r="G188">
      <f>G193</f>
    </oc>
    <nc r="G188">
      <f>G193+G189</f>
    </nc>
  </rcc>
  <rcc rId="3948" sId="1" numFmtId="4">
    <oc r="F200">
      <f>16327.6-350-130</f>
    </oc>
    <nc r="F200">
      <v>16327.6</v>
    </nc>
  </rcc>
  <rcc rId="3949" sId="1" numFmtId="4">
    <oc r="G200">
      <f>16327.6-100-370</f>
    </oc>
    <nc r="G200">
      <v>16327.6</v>
    </nc>
  </rcc>
  <rcc rId="3950" sId="1">
    <oc r="A19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3951" sId="1" odxf="1" dxf="1">
    <oc r="A200" t="inlineStr">
      <is>
        <t>Субсидии автономным учреждениям на иные цели</t>
      </is>
    </oc>
    <nc r="A200" t="inlineStr">
      <is>
        <t>Прочие мероприятия , связанные с выполнением обязательств ОМСУ</t>
      </is>
    </nc>
    <odxf>
      <alignment horizontal="left" vertical="center"/>
    </odxf>
    <ndxf>
      <alignment horizontal="general" vertical="top"/>
    </ndxf>
  </rcc>
  <rcc rId="3952" sId="1" numFmtId="4">
    <oc r="F203">
      <v>130</v>
    </oc>
    <nc r="F203"/>
  </rcc>
  <rcc rId="3953" sId="1" numFmtId="4">
    <oc r="G203">
      <v>100</v>
    </oc>
    <nc r="G203"/>
  </rcc>
  <rrc rId="3954" sId="1" ref="A201:XFD201" action="deleteRow">
    <undo index="65535" exp="ref" v="1" dr="G201" r="G197" sId="1"/>
    <undo index="65535" exp="ref" v="1" dr="F201" r="F197" sId="1"/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5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6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57" sId="1">
    <oc r="F197">
      <f>F198+#REF!</f>
    </oc>
    <nc r="F197">
      <f>F198</f>
    </nc>
  </rcc>
  <rcc rId="3958" sId="1">
    <oc r="G197">
      <f>G198+#REF!</f>
    </oc>
    <nc r="G197">
      <f>G198</f>
    </nc>
  </rcc>
  <rcc rId="3959" sId="1">
    <oc r="E200" t="inlineStr">
      <is>
        <t>622</t>
      </is>
    </oc>
    <nc r="E200" t="inlineStr">
      <is>
        <t>244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Ведом.структура!$A$1:$G$421</formula>
    <oldFormula>Ведом.структура!$A$1:$G$421</oldFormula>
  </rdn>
  <rdn rId="0" localSheetId="1" customView="1" name="Z_A9EB50DC_BC7E_40F0_8A51_0BBE6B12FA5A_.wvu.FilterData" hidden="1" oldHidden="1">
    <formula>Ведом.структура!$A$13:$G$430</formula>
    <oldFormula>Ведом.структура!$A$13:$G$430</oldFormula>
  </rdn>
  <rcv guid="{A9EB50DC-BC7E-40F0-8A51-0BBE6B12FA5A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2" sId="1" numFmtId="4">
    <oc r="F207">
      <v>132003.5</v>
    </oc>
    <nc r="F207">
      <v>157463.1</v>
    </nc>
  </rcc>
  <rcc rId="3963" sId="1" numFmtId="4">
    <oc r="G207">
      <v>132003.5</v>
    </oc>
    <nc r="G207">
      <v>157463.1</v>
    </nc>
  </rcc>
  <rcc rId="3964" sId="1" numFmtId="4">
    <oc r="F209">
      <f>563</f>
    </oc>
    <nc r="F209">
      <v>552.70000000000005</v>
    </nc>
  </rcc>
  <rcc rId="3965" sId="1" numFmtId="4">
    <oc r="G209">
      <v>563</v>
    </oc>
    <nc r="G209">
      <v>552.70000000000005</v>
    </nc>
  </rcc>
  <rrc rId="3966" sId="1" ref="A210:XFD211" action="insertRow"/>
  <rfmt sheetId="1" sqref="A210" start="0" length="0">
    <dxf>
      <font>
        <i/>
        <name val="Times New Roman"/>
        <family val="1"/>
      </font>
    </dxf>
  </rfmt>
  <rfmt sheetId="1" sqref="B210" start="0" length="0">
    <dxf>
      <font>
        <i/>
        <name val="Times New Roman"/>
        <family val="1"/>
      </font>
    </dxf>
  </rfmt>
  <rfmt sheetId="1" sqref="C210" start="0" length="0">
    <dxf>
      <font>
        <i/>
        <name val="Times New Roman"/>
        <family val="1"/>
      </font>
    </dxf>
  </rfmt>
  <rfmt sheetId="1" sqref="D210" start="0" length="0">
    <dxf>
      <font>
        <i/>
        <name val="Times New Roman"/>
        <family val="1"/>
      </font>
    </dxf>
  </rfmt>
  <rfmt sheetId="1" sqref="E210" start="0" length="0">
    <dxf>
      <font>
        <i/>
        <name val="Times New Roman"/>
        <family val="1"/>
      </font>
    </dxf>
  </rfmt>
  <rfmt sheetId="1" sqref="F210" start="0" length="0">
    <dxf>
      <font>
        <i/>
        <name val="Times New Roman"/>
        <family val="1"/>
      </font>
    </dxf>
  </rfmt>
  <rfmt sheetId="1" sqref="G210" start="0" length="0">
    <dxf>
      <font>
        <i/>
        <name val="Times New Roman"/>
        <family val="1"/>
      </font>
    </dxf>
  </rfmt>
  <rfmt sheetId="1" sqref="H210" start="0" length="0">
    <dxf>
      <font>
        <i/>
        <name val="Times New Roman CYR"/>
        <family val="1"/>
      </font>
    </dxf>
  </rfmt>
  <rfmt sheetId="1" sqref="I210" start="0" length="0">
    <dxf>
      <font>
        <i/>
        <name val="Times New Roman CYR"/>
        <family val="1"/>
      </font>
    </dxf>
  </rfmt>
  <rfmt sheetId="1" sqref="A210:XFD210" start="0" length="0">
    <dxf>
      <font>
        <i/>
        <name val="Times New Roman CYR"/>
        <family val="1"/>
      </font>
    </dxf>
  </rfmt>
  <rcc rId="3967" sId="1">
    <nc r="A210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3968" sId="1" odxf="1" dxf="1">
    <nc r="A211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969" sId="1">
    <nc r="B210" t="inlineStr">
      <is>
        <t>07</t>
      </is>
    </nc>
  </rcc>
  <rcc rId="3970" sId="1">
    <nc r="C210" t="inlineStr">
      <is>
        <t>01</t>
      </is>
    </nc>
  </rcc>
  <rcc rId="3971" sId="1">
    <nc r="D210" t="inlineStr">
      <is>
        <t>10101 74880</t>
      </is>
    </nc>
  </rcc>
  <rcc rId="3972" sId="1" odxf="1" dxf="1">
    <nc r="F210">
      <f>F211</f>
    </nc>
    <ndxf>
      <fill>
        <patternFill>
          <bgColor rgb="FF92D050"/>
        </patternFill>
      </fill>
    </ndxf>
  </rcc>
  <rcc rId="3973" sId="1" odxf="1" dxf="1">
    <nc r="G210">
      <f>G211</f>
    </nc>
    <ndxf>
      <fill>
        <patternFill>
          <bgColor rgb="FF92D050"/>
        </patternFill>
      </fill>
    </ndxf>
  </rcc>
  <rcc rId="3974" sId="1">
    <nc r="B211" t="inlineStr">
      <is>
        <t>07</t>
      </is>
    </nc>
  </rcc>
  <rcc rId="3975" sId="1">
    <nc r="C211" t="inlineStr">
      <is>
        <t>01</t>
      </is>
    </nc>
  </rcc>
  <rcc rId="3976" sId="1">
    <nc r="D211" t="inlineStr">
      <is>
        <t>10101 74880</t>
      </is>
    </nc>
  </rcc>
  <rcc rId="3977" sId="1">
    <nc r="E211" t="inlineStr">
      <is>
        <t>612</t>
      </is>
    </nc>
  </rcc>
  <rcc rId="3978" sId="1" numFmtId="4">
    <nc r="F211">
      <f>324+324</f>
    </nc>
  </rcc>
  <rcc rId="3979" sId="1" numFmtId="4">
    <nc r="G211">
      <f>324+324</f>
    </nc>
  </rcc>
  <rfmt sheetId="1" sqref="F210:G210">
    <dxf>
      <fill>
        <patternFill>
          <bgColor theme="0"/>
        </patternFill>
      </fill>
    </dxf>
  </rfmt>
  <rcc rId="3980" sId="1">
    <oc r="F205">
      <f>F206+F212+F208</f>
    </oc>
    <nc r="F205">
      <f>F206+F212+F208+F210</f>
    </nc>
  </rcc>
  <rcc rId="3981" sId="1">
    <oc r="G205">
      <f>G206+G212+G208</f>
    </oc>
    <nc r="G205">
      <f>G206+G212+G208+G210</f>
    </nc>
  </rcc>
  <rcc rId="3982" sId="1">
    <oc r="F213">
      <f>80336.9-18626.92</f>
    </oc>
    <nc r="F213">
      <f>26093.8+904.7+15000+10000</f>
    </nc>
  </rcc>
  <rcc rId="3983" sId="1">
    <oc r="G213">
      <f>80336.9-24369.815</f>
    </oc>
    <nc r="G213">
      <f>26093.8+904.7+15000+10000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84" sId="1" ref="A214:XFD215" action="insertRow"/>
  <rfmt sheetId="1" sqref="A214" start="0" length="0">
    <dxf>
      <font>
        <i/>
        <name val="Times New Roman"/>
        <family val="1"/>
      </font>
    </dxf>
  </rfmt>
  <rfmt sheetId="1" sqref="B214" start="0" length="0">
    <dxf>
      <font>
        <i/>
        <name val="Times New Roman"/>
        <family val="1"/>
      </font>
    </dxf>
  </rfmt>
  <rfmt sheetId="1" sqref="C214" start="0" length="0">
    <dxf>
      <font>
        <i/>
        <name val="Times New Roman"/>
        <family val="1"/>
      </font>
    </dxf>
  </rfmt>
  <rfmt sheetId="1" sqref="D214" start="0" length="0">
    <dxf>
      <font>
        <i/>
        <name val="Times New Roman"/>
        <family val="1"/>
      </font>
    </dxf>
  </rfmt>
  <rfmt sheetId="1" sqref="E214" start="0" length="0">
    <dxf>
      <font>
        <i/>
        <name val="Times New Roman"/>
        <family val="1"/>
      </font>
    </dxf>
  </rfmt>
  <rfmt sheetId="1" sqref="F214" start="0" length="0">
    <dxf>
      <font>
        <i/>
        <name val="Times New Roman"/>
        <family val="1"/>
      </font>
    </dxf>
  </rfmt>
  <rfmt sheetId="1" sqref="G214" start="0" length="0">
    <dxf>
      <font>
        <i/>
        <name val="Times New Roman"/>
        <family val="1"/>
      </font>
    </dxf>
  </rfmt>
  <rcc rId="3985" sId="1">
    <nc r="A214" t="inlineStr">
      <is>
        <t>Софинансирование расходных обязательств муниципальных районов (городских округов)</t>
      </is>
    </nc>
  </rcc>
  <rcc rId="3986" sId="1">
    <nc r="A21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87" sId="1">
    <nc r="B214" t="inlineStr">
      <is>
        <t>07</t>
      </is>
    </nc>
  </rcc>
  <rcc rId="3988" sId="1">
    <nc r="C214" t="inlineStr">
      <is>
        <t>01</t>
      </is>
    </nc>
  </rcc>
  <rcc rId="3989" sId="1">
    <nc r="D214" t="inlineStr">
      <is>
        <t>10101 S2160</t>
      </is>
    </nc>
  </rcc>
  <rcc rId="3990" sId="1">
    <nc r="F214">
      <f>F215</f>
    </nc>
  </rcc>
  <rcc rId="3991" sId="1">
    <nc r="G214">
      <f>G215</f>
    </nc>
  </rcc>
  <rcc rId="3992" sId="1">
    <nc r="B215" t="inlineStr">
      <is>
        <t>07</t>
      </is>
    </nc>
  </rcc>
  <rcc rId="3993" sId="1">
    <nc r="C215" t="inlineStr">
      <is>
        <t>01</t>
      </is>
    </nc>
  </rcc>
  <rcc rId="3994" sId="1">
    <nc r="D215" t="inlineStr">
      <is>
        <t>10101 S2160</t>
      </is>
    </nc>
  </rcc>
  <rcc rId="3995" sId="1">
    <nc r="E215" t="inlineStr">
      <is>
        <t>611</t>
      </is>
    </nc>
  </rcc>
  <rcc rId="3996" sId="1">
    <nc r="F215">
      <f>123000.9+3925.6</f>
    </nc>
  </rcc>
  <rcc rId="3997" sId="1">
    <nc r="G215">
      <f>123000.9+3925.6</f>
    </nc>
  </rcc>
  <rcc rId="3998" sId="1">
    <oc r="F205">
      <f>F206+F212+F208+F210</f>
    </oc>
    <nc r="F205">
      <f>F206+F212+F208+F210+F214</f>
    </nc>
  </rcc>
  <rcc rId="3999" sId="1">
    <oc r="G205">
      <f>G206+G212+G208+G210</f>
    </oc>
    <nc r="G205">
      <f>G206+G212+G208+G210+G214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0" sId="1" numFmtId="4">
    <oc r="F221">
      <v>31012</v>
    </oc>
    <nc r="F221">
      <v>31351.9</v>
    </nc>
  </rcc>
  <rcc rId="4001" sId="1" xfDxf="1" dxf="1">
    <oc r="A220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20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02" sId="1">
    <oc r="D221" t="inlineStr">
      <is>
        <t>10201 53030</t>
      </is>
    </oc>
    <nc r="D221" t="inlineStr">
      <is>
        <t>10201 L3030</t>
      </is>
    </nc>
  </rcc>
  <rcc rId="4003" sId="1">
    <oc r="D220" t="inlineStr">
      <is>
        <t>10201 53030</t>
      </is>
    </oc>
    <nc r="D220" t="inlineStr">
      <is>
        <t>10201 L3030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6" sId="1" numFmtId="4">
    <oc r="F223">
      <v>256178</v>
    </oc>
    <nc r="F223">
      <v>300594.09999999998</v>
    </nc>
  </rcc>
  <rcc rId="4007" sId="1" numFmtId="4">
    <oc r="G223">
      <v>256178</v>
    </oc>
    <nc r="G223">
      <v>300594.09999999998</v>
    </nc>
  </rcc>
  <rcc rId="4008" sId="1" odxf="1" dxf="1">
    <oc r="A224" t="inlineStr">
      <is>
        <t>Ежемесячное денежное вознаграждение  за классное руководство</t>
      </is>
    </oc>
    <nc r="A224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9" sId="1" numFmtId="4">
    <oc r="F227">
      <v>4000</v>
    </oc>
    <nc r="F227">
      <f>62629.8+4758.7+30000+15000</f>
    </nc>
  </rcc>
  <rcc rId="4010" sId="1" numFmtId="4">
    <oc r="G227">
      <v>4000</v>
    </oc>
    <nc r="G227">
      <f>62629.8+4758.7+30000+13421.405</f>
    </nc>
  </rcc>
  <rcc rId="4011" sId="1">
    <oc r="F229">
      <f>27282+275.6</f>
    </oc>
    <nc r="F229">
      <f>27585.6+278.6</f>
    </nc>
  </rcc>
  <rcc rId="4012" sId="1">
    <oc r="F231">
      <f>116435+15410</f>
    </oc>
    <nc r="F231">
      <f>136340.4+4216.7</f>
    </nc>
  </rcc>
  <rcc rId="4013" sId="1">
    <oc r="G231">
      <f>116435+15410</f>
    </oc>
    <nc r="G231">
      <f>136340.4+4216.7</f>
    </nc>
  </rcc>
  <rcc rId="4014" sId="1">
    <oc r="F233">
      <f>10584.6+10584.6</f>
    </oc>
    <nc r="F233">
      <f>10804.3+9581.2</f>
    </nc>
  </rcc>
  <rcc rId="4015" sId="1">
    <oc r="G233">
      <f>10584.6+10584.6</f>
    </oc>
    <nc r="G233">
      <f>10804.3+9581.2</f>
    </nc>
  </rcc>
  <rcc rId="4016" sId="1">
    <oc r="F235">
      <f>1380.2+28.2</f>
    </oc>
    <nc r="F235">
      <f>1523.6+47.1</f>
    </nc>
  </rcc>
  <rcc rId="4017" sId="1">
    <oc r="G235">
      <f>1380.2+28.2</f>
    </oc>
    <nc r="G235">
      <f>1523.6+47.1</f>
    </nc>
  </rcc>
  <rcc rId="4018" sId="1" numFmtId="4">
    <oc r="F237">
      <v>4690.3999999999996</v>
    </oc>
    <nc r="F237">
      <v>5297.5</v>
    </nc>
  </rcc>
  <rcc rId="4019" sId="1" numFmtId="4">
    <oc r="G237">
      <v>0</v>
    </oc>
    <nc r="G237">
      <v>317.8</v>
    </nc>
  </rcc>
  <rcc rId="4020" sId="1" numFmtId="4">
    <oc r="F240">
      <v>255.2</v>
    </oc>
    <nc r="F240">
      <v>374.4</v>
    </nc>
  </rcc>
  <rcc rId="4021" sId="1" numFmtId="4">
    <oc r="G240">
      <v>255.2</v>
    </oc>
    <nc r="G240">
      <v>374.4</v>
    </nc>
  </rcc>
  <rcc rId="4022" sId="1">
    <oc r="F243">
      <f>8380+420</f>
    </oc>
    <nc r="F243">
      <f>8319+437.8</f>
    </nc>
  </rcc>
  <rcc rId="4023" sId="1">
    <oc r="G243">
      <f>8380+420</f>
    </oc>
    <nc r="G243">
      <f>8319+437.8</f>
    </nc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1:G241" start="0" length="2147483647">
    <dxf>
      <font>
        <i val="0"/>
      </font>
    </dxf>
  </rfmt>
  <rfmt sheetId="1" sqref="A241:G241" start="0" length="2147483647">
    <dxf>
      <font>
        <i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4" sId="1" numFmtId="4">
    <oc r="F256">
      <v>78</v>
    </oc>
    <nc r="F256">
      <f>8525.8+100+72.7</f>
    </nc>
  </rcc>
  <rcc rId="4025" sId="1" numFmtId="4">
    <oc r="G256">
      <v>78</v>
    </oc>
    <nc r="G256">
      <f>8525.8+100+72.7</f>
    </nc>
  </rcc>
  <rcc rId="4026" sId="1" numFmtId="4">
    <oc r="F257">
      <v>795</v>
    </oc>
    <nc r="F257">
      <f>15665.9+777.6+37.1</f>
    </nc>
  </rcc>
  <rcc rId="4027" sId="1" numFmtId="4">
    <oc r="G257">
      <v>795</v>
    </oc>
    <nc r="G257">
      <f>15665.9+777.6+37.1</f>
    </nc>
  </rcc>
  <rcc rId="4028" sId="1">
    <oc r="F259">
      <f>10159.152+10480</f>
    </oc>
    <nc r="F259">
      <f>7262.6</f>
    </nc>
  </rcc>
  <rcc rId="4029" sId="1">
    <oc r="G259">
      <f>10159.152+10480</f>
    </oc>
    <nc r="G259">
      <f>7262.6</f>
    </nc>
  </rcc>
  <rcc rId="4030" sId="1" numFmtId="4">
    <oc r="F260">
      <f>32170.648+21202.1</f>
    </oc>
    <nc r="F260">
      <v>22998.1</v>
    </nc>
  </rcc>
  <rcc rId="4031" sId="1" numFmtId="4">
    <oc r="G260">
      <f>32170.648+21202.1</f>
    </oc>
    <nc r="G260">
      <v>22998.1</v>
    </nc>
  </rcc>
  <rrc rId="4032" sId="1" ref="A261:XFD263" action="insertRow"/>
  <rfmt sheetId="1" sqref="A261" start="0" length="0">
    <dxf>
      <font>
        <i/>
        <color indexed="8"/>
        <name val="Times New Roman"/>
        <family val="1"/>
      </font>
    </dxf>
  </rfmt>
  <rfmt sheetId="1" sqref="B261" start="0" length="0">
    <dxf>
      <font>
        <i/>
        <name val="Times New Roman"/>
        <family val="1"/>
      </font>
    </dxf>
  </rfmt>
  <rfmt sheetId="1" sqref="C261" start="0" length="0">
    <dxf>
      <font>
        <i/>
        <name val="Times New Roman"/>
        <family val="1"/>
      </font>
    </dxf>
  </rfmt>
  <rfmt sheetId="1" sqref="D261" start="0" length="0">
    <dxf>
      <font>
        <i/>
        <name val="Times New Roman"/>
        <family val="1"/>
      </font>
    </dxf>
  </rfmt>
  <rfmt sheetId="1" sqref="E261" start="0" length="0">
    <dxf>
      <font>
        <i/>
        <name val="Times New Roman"/>
        <family val="1"/>
      </font>
    </dxf>
  </rfmt>
  <rfmt sheetId="1" sqref="F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62" start="0" length="0">
    <dxf>
      <font>
        <color indexed="8"/>
        <name val="Times New Roman"/>
        <family val="1"/>
      </font>
      <fill>
        <patternFill patternType="none"/>
      </fill>
    </dxf>
  </rfmt>
  <rcc rId="4033" sId="1" odxf="1" dxf="1">
    <nc r="A26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034" sId="1"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5" sId="1">
    <nc r="A26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6" sId="1">
    <nc r="B261" t="inlineStr">
      <is>
        <t>07</t>
      </is>
    </nc>
  </rcc>
  <rcc rId="4037" sId="1">
    <nc r="C261" t="inlineStr">
      <is>
        <t>03</t>
      </is>
    </nc>
  </rcc>
  <rcc rId="4038" sId="1">
    <nc r="D261" t="inlineStr">
      <is>
        <t>10301 S2160</t>
      </is>
    </nc>
  </rcc>
  <rcc rId="4039" sId="1" odxf="1" dxf="1">
    <nc r="F261">
      <f>F262+F263</f>
    </nc>
    <ndxf>
      <fill>
        <patternFill patternType="solid">
          <bgColor theme="0"/>
        </patternFill>
      </fill>
    </ndxf>
  </rcc>
  <rcc rId="4040" sId="1" odxf="1" dxf="1">
    <nc r="G261">
      <f>G262+G263</f>
    </nc>
    <ndxf>
      <fill>
        <patternFill patternType="solid">
          <bgColor theme="0"/>
        </patternFill>
      </fill>
    </ndxf>
  </rcc>
  <rcc rId="4041" sId="1">
    <nc r="B262" t="inlineStr">
      <is>
        <t>07</t>
      </is>
    </nc>
  </rcc>
  <rcc rId="4042" sId="1">
    <nc r="C262" t="inlineStr">
      <is>
        <t>03</t>
      </is>
    </nc>
  </rcc>
  <rcc rId="4043" sId="1">
    <nc r="D262" t="inlineStr">
      <is>
        <t>10301 S2160</t>
      </is>
    </nc>
  </rcc>
  <rcc rId="4044" sId="1">
    <nc r="E262" t="inlineStr">
      <is>
        <t>611</t>
      </is>
    </nc>
  </rcc>
  <rcc rId="4045" sId="1">
    <nc r="F262">
      <f>5812.2+179.8</f>
    </nc>
  </rcc>
  <rcc rId="4046" sId="1">
    <nc r="G262">
      <f>5812.2+179.8</f>
    </nc>
  </rcc>
  <rcc rId="4047" sId="1">
    <nc r="B263" t="inlineStr">
      <is>
        <t>07</t>
      </is>
    </nc>
  </rcc>
  <rcc rId="4048" sId="1">
    <nc r="C263" t="inlineStr">
      <is>
        <t>03</t>
      </is>
    </nc>
  </rcc>
  <rcc rId="4049" sId="1">
    <nc r="D263" t="inlineStr">
      <is>
        <t>10301 S2160</t>
      </is>
    </nc>
  </rcc>
  <rcc rId="4050" sId="1">
    <nc r="E263" t="inlineStr">
      <is>
        <t>621</t>
      </is>
    </nc>
  </rcc>
  <rcc rId="4051" sId="1" numFmtId="4">
    <nc r="F263">
      <f>10669.6+340.5</f>
    </nc>
  </rcc>
  <rcc rId="4052" sId="1" numFmtId="4">
    <nc r="G263">
      <f>10669.6+340.5</f>
    </nc>
  </rcc>
  <rcc rId="4053" sId="1">
    <oc r="F254">
      <f>F255+F258</f>
    </oc>
    <nc r="F254">
      <f>F255+F258+F261</f>
    </nc>
  </rcc>
  <rcc rId="4054" sId="1">
    <oc r="G254">
      <f>G255+G258</f>
    </oc>
    <nc r="G254">
      <f>G255+G258+G261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5" sId="1" numFmtId="4">
    <oc r="F249">
      <v>11764</v>
    </oc>
    <nc r="F249">
      <f>15442.2+1500+1000</f>
    </nc>
  </rcc>
  <rcc rId="4056" sId="1" numFmtId="4">
    <oc r="G249">
      <v>11764</v>
    </oc>
    <nc r="G249">
      <f>15442.2+1500+1000</f>
    </nc>
  </rcc>
  <rcc rId="4057" sId="1" numFmtId="4">
    <oc r="F251">
      <v>13346.3</v>
    </oc>
    <nc r="F251">
      <v>13722.8</v>
    </nc>
  </rcc>
  <rcc rId="4058" sId="1" numFmtId="4">
    <oc r="G251">
      <v>13346.3</v>
    </oc>
    <nc r="G251">
      <v>13722.8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9" sId="1">
    <oc r="F269">
      <f>395+8.1</f>
    </oc>
    <nc r="F269">
      <f>395+12.2</f>
    </nc>
  </rcc>
  <rcc rId="4060" sId="1">
    <oc r="G269">
      <f>395+8.1</f>
    </oc>
    <nc r="G269">
      <f>395+12.2</f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1" sId="1" numFmtId="4">
    <oc r="F284">
      <v>5352.5</v>
    </oc>
    <nc r="F284">
      <v>6191</v>
    </nc>
  </rcc>
  <rcc rId="4062" sId="1" numFmtId="4">
    <oc r="G284">
      <v>5352.5</v>
    </oc>
    <nc r="G284">
      <v>6191</v>
    </nc>
  </rcc>
  <rcc rId="4063" sId="1" numFmtId="4">
    <oc r="F286">
      <v>5645.9</v>
    </oc>
    <nc r="F286">
      <v>7002.5</v>
    </nc>
  </rcc>
  <rcc rId="4064" sId="1" numFmtId="4">
    <oc r="G286">
      <v>5645.9</v>
    </oc>
    <nc r="G286">
      <v>7002.5</v>
    </nc>
  </rcc>
  <rcc rId="4065" sId="1" numFmtId="4">
    <oc r="F288">
      <v>61.7</v>
    </oc>
    <nc r="F288">
      <v>71.349999999999994</v>
    </nc>
  </rcc>
  <rcc rId="4066" sId="1" numFmtId="4">
    <oc r="G288">
      <v>61.7</v>
    </oc>
    <nc r="G288">
      <v>71.349999999999994</v>
    </nc>
  </rcc>
  <rcc rId="4067" sId="1" numFmtId="4">
    <oc r="F289">
      <v>18.600000000000001</v>
    </oc>
    <nc r="F289">
      <v>21.55</v>
    </nc>
  </rcc>
  <rcc rId="4068" sId="1" numFmtId="4">
    <oc r="G289">
      <v>18.600000000000001</v>
    </oc>
    <nc r="G289">
      <v>21.55</v>
    </nc>
  </rcc>
  <rcc rId="4069" sId="1" odxf="1" dxf="1" numFmtId="4">
    <oc r="F275">
      <v>100</v>
    </oc>
    <nc r="F275">
      <f>100+3</f>
    </nc>
    <odxf>
      <alignment wrapText="1"/>
    </odxf>
    <ndxf>
      <alignment wrapText="0"/>
    </ndxf>
  </rcc>
  <rcc rId="4070" sId="1" odxf="1" dxf="1" numFmtId="4">
    <oc r="G275">
      <v>100</v>
    </oc>
    <nc r="G275">
      <f>100+3</f>
    </nc>
    <odxf>
      <alignment wrapText="1"/>
    </odxf>
    <ndxf>
      <alignment wrapText="0"/>
    </ndxf>
  </rcc>
  <rcc rId="4071" sId="1" numFmtId="4">
    <oc r="F279">
      <v>2207.1999999999998</v>
    </oc>
    <nc r="F279">
      <f>1674.6+1000</f>
    </nc>
  </rcc>
  <rcc rId="4072" sId="1" numFmtId="4">
    <oc r="G279">
      <v>2207.1999999999998</v>
    </oc>
    <nc r="G279">
      <f>1674.6+1000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3" sId="1" numFmtId="4">
    <oc r="F295">
      <v>65.099999999999994</v>
    </oc>
    <nc r="F295">
      <v>80.644999999999996</v>
    </nc>
  </rcc>
  <rcc rId="4074" sId="1" numFmtId="4">
    <oc r="G295">
      <v>65.099999999999994</v>
    </oc>
    <nc r="G295">
      <v>80.644999999999996</v>
    </nc>
  </rcc>
  <rcc rId="4075" sId="1" numFmtId="4">
    <oc r="F296">
      <v>19.600000000000001</v>
    </oc>
    <nc r="F296">
      <v>24.355</v>
    </nc>
  </rcc>
  <rcc rId="4076" sId="1" numFmtId="4">
    <oc r="G296">
      <v>19.600000000000001</v>
    </oc>
    <nc r="G296">
      <v>24.355</v>
    </nc>
  </rcc>
  <rcc rId="4077" sId="1" numFmtId="4">
    <oc r="F300">
      <v>82</v>
    </oc>
    <nc r="F300">
      <v>83.5</v>
    </nc>
  </rcc>
  <rcc rId="4078" sId="1" numFmtId="4">
    <oc r="G300">
      <v>82</v>
    </oc>
    <nc r="G300">
      <v>83.5</v>
    </nc>
  </rcc>
  <rcc rId="4079" sId="1" numFmtId="4">
    <oc r="F302">
      <v>914.2</v>
    </oc>
    <nc r="F302">
      <v>1101.4000000000001</v>
    </nc>
  </rcc>
  <rcc rId="4080" sId="1" numFmtId="4">
    <oc r="G302">
      <v>914.2</v>
    </oc>
    <nc r="G302">
      <v>1101.4000000000001</v>
    </nc>
  </rcc>
  <rcc rId="4081" sId="1" numFmtId="4">
    <oc r="F303">
      <v>276</v>
    </oc>
    <nc r="F303">
      <v>332.6</v>
    </nc>
  </rcc>
  <rcc rId="4082" sId="1" numFmtId="4">
    <oc r="G303">
      <v>276</v>
    </oc>
    <nc r="G303">
      <v>332.6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3" sId="1" ref="A307:XFD307" action="insertRow"/>
  <rcc rId="4084" sId="1">
    <nc r="B307" t="inlineStr">
      <is>
        <t>07</t>
      </is>
    </nc>
  </rcc>
  <rcc rId="4085" sId="1">
    <nc r="C307" t="inlineStr">
      <is>
        <t>09</t>
      </is>
    </nc>
  </rcc>
  <rcc rId="4086" sId="1">
    <nc r="D307" t="inlineStr">
      <is>
        <t>10501 83040</t>
      </is>
    </nc>
  </rcc>
  <rcc rId="4087" sId="1">
    <nc r="E307" t="inlineStr">
      <is>
        <t>242</t>
      </is>
    </nc>
  </rcc>
  <rcc rId="4088" sId="1" numFmtId="4">
    <oc r="F305">
      <v>24865.3</v>
    </oc>
    <nc r="F305">
      <v>1969.3</v>
    </nc>
  </rcc>
  <rcc rId="4089" sId="1" numFmtId="4">
    <oc r="G305">
      <v>24865.3</v>
    </oc>
    <nc r="G305">
      <v>1969.3</v>
    </nc>
  </rcc>
  <rcc rId="4090" sId="1" numFmtId="4">
    <oc r="F306">
      <v>7509.3</v>
    </oc>
    <nc r="F306">
      <v>594.70000000000005</v>
    </nc>
  </rcc>
  <rcc rId="4091" sId="1" numFmtId="4">
    <oc r="G306">
      <v>7509.3</v>
    </oc>
    <nc r="G306">
      <v>594.70000000000005</v>
    </nc>
  </rcc>
  <rcc rId="4092" sId="1" numFmtId="4">
    <nc r="F307">
      <v>1500</v>
    </nc>
  </rcc>
  <rcc rId="4093" sId="1" numFmtId="4">
    <nc r="G307">
      <v>1500</v>
    </nc>
  </rcc>
  <rcc rId="4094" sId="1" numFmtId="4">
    <oc r="F308">
      <v>16</v>
    </oc>
    <nc r="F308">
      <f>15.5+5000+1500</f>
    </nc>
  </rcc>
  <rcc rId="4095" sId="1" numFmtId="4">
    <oc r="G308">
      <v>16</v>
    </oc>
    <nc r="G308">
      <f>15.5+5000+1500</f>
    </nc>
  </rcc>
  <rcc rId="4096" sId="1" numFmtId="4">
    <oc r="F309">
      <v>600</v>
    </oc>
    <nc r="F309">
      <v>903.1</v>
    </nc>
  </rcc>
  <rcc rId="4097" sId="1" numFmtId="4">
    <oc r="G309">
      <v>600</v>
    </oc>
    <nc r="G309">
      <v>903.1</v>
    </nc>
  </rcc>
  <rcc rId="4098" sId="1" numFmtId="4">
    <oc r="F310">
      <v>30</v>
    </oc>
    <nc r="F310">
      <v>17.100000000000001</v>
    </nc>
  </rcc>
  <rcc rId="4099" sId="1" numFmtId="4">
    <oc r="G310">
      <v>30</v>
    </oc>
    <nc r="G310">
      <v>17.100000000000001</v>
    </nc>
  </rcc>
  <rcc rId="4100" sId="1" numFmtId="4">
    <oc r="F311">
      <v>34</v>
    </oc>
    <nc r="F311">
      <v>26.8</v>
    </nc>
  </rcc>
  <rcc rId="4101" sId="1" numFmtId="4">
    <oc r="G311">
      <v>34</v>
    </oc>
    <nc r="G311">
      <v>26.8</v>
    </nc>
  </rcc>
  <rcc rId="4102" sId="1" odxf="1" dxf="1">
    <nc r="A307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3" sId="1" numFmtId="4">
    <oc r="F325">
      <v>10012.299999999999</v>
    </oc>
    <nc r="F325">
      <f>13032.1+500+1000</f>
    </nc>
  </rcc>
  <rcc rId="4104" sId="1" numFmtId="4">
    <oc r="G325">
      <v>10012.299999999999</v>
    </oc>
    <nc r="G325">
      <f>13032.1+500+1000</f>
    </nc>
  </rcc>
  <rcc rId="4105" sId="1" numFmtId="4">
    <oc r="F327">
      <v>8270.1</v>
    </oc>
    <nc r="F327">
      <v>10449.620000000001</v>
    </nc>
  </rcc>
  <rcc rId="4106" sId="1" numFmtId="4">
    <oc r="G327">
      <v>8270.1</v>
    </oc>
    <nc r="G327">
      <v>10449.620000000001</v>
    </nc>
  </rcc>
  <rcc rId="4107" sId="1" numFmtId="4">
    <oc r="F331">
      <v>17739.2</v>
    </oc>
    <nc r="F331">
      <f>21670.6+1700</f>
    </nc>
  </rcc>
  <rcc rId="4108" sId="1" numFmtId="4">
    <oc r="G331">
      <v>17739.2</v>
    </oc>
    <nc r="G331">
      <f>21670.6+1700</f>
    </nc>
  </rcc>
  <rcc rId="4109" sId="1" numFmtId="4">
    <oc r="F333">
      <v>12942.4</v>
    </oc>
    <nc r="F333">
      <v>14456.42</v>
    </nc>
  </rcc>
  <rcc rId="4110" sId="1" numFmtId="4">
    <oc r="G333">
      <v>12942.4</v>
    </oc>
    <nc r="G333">
      <v>14456.42</v>
    </nc>
  </rcc>
  <rcc rId="4111" sId="1" numFmtId="4">
    <oc r="F337">
      <v>150</v>
    </oc>
    <nc r="F337">
      <v>1000</v>
    </nc>
  </rcc>
  <rcc rId="4112" sId="1" numFmtId="4">
    <oc r="G337">
      <v>150</v>
    </oc>
    <nc r="G337">
      <v>1000</v>
    </nc>
  </rcc>
  <rcc rId="4113" sId="1" numFmtId="4">
    <oc r="F340">
      <v>7707.5</v>
    </oc>
    <nc r="F340">
      <v>8367.26</v>
    </nc>
  </rcc>
  <rcc rId="4114" sId="1" numFmtId="4">
    <oc r="G340">
      <v>7707.5</v>
    </oc>
    <nc r="G340">
      <v>8367.26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5" sId="1" odxf="1" dxf="1" numFmtId="4">
    <oc r="F346">
      <v>695</v>
    </oc>
    <nc r="F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6" sId="1" odxf="1" dxf="1" numFmtId="4">
    <oc r="G346">
      <v>695</v>
    </oc>
    <nc r="G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7" sId="1" odxf="1" dxf="1" numFmtId="4">
    <oc r="F347">
      <v>210</v>
    </oc>
    <nc r="F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8" sId="1" odxf="1" dxf="1" numFmtId="4">
    <oc r="G347">
      <v>210</v>
    </oc>
    <nc r="G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19" sId="1" ref="A351:XFD351" action="insertRow"/>
  <rrc rId="4120" sId="1" ref="A351:XFD351" action="insertRow"/>
  <rcc rId="4121" sId="1">
    <nc r="A351" t="inlineStr">
      <is>
        <t>Закупка товаров, работ, услуг в сфере информационно-коммуникационных технологий</t>
      </is>
    </nc>
  </rcc>
  <rcc rId="4122" sId="1">
    <nc r="A352" t="inlineStr">
      <is>
        <t>Прочая закупка товаров, работ и услуг для обеспечения государственных (муниципальных) нужд</t>
      </is>
    </nc>
  </rcc>
  <rcc rId="4123" sId="1">
    <oc r="G348">
      <f>SUM(G349:G353)</f>
    </oc>
    <nc r="G348">
      <f>SUM(G349:G353)</f>
    </nc>
  </rcc>
  <rcc rId="4124" sId="1" numFmtId="4">
    <oc r="F349">
      <v>7838.2</v>
    </oc>
    <nc r="F349">
      <v>10978</v>
    </nc>
  </rcc>
  <rcc rId="4125" sId="1" numFmtId="4">
    <oc r="G349">
      <v>7838.2</v>
    </oc>
    <nc r="G349">
      <v>10978</v>
    </nc>
  </rcc>
  <rcc rId="4126" sId="1" numFmtId="4">
    <oc r="F350">
      <v>2367.1999999999998</v>
    </oc>
    <nc r="F350">
      <v>3315.4</v>
    </nc>
  </rcc>
  <rcc rId="4127" sId="1" numFmtId="4">
    <oc r="G350">
      <v>2367.1999999999998</v>
    </oc>
    <nc r="G350">
      <v>3315.4</v>
    </nc>
  </rcc>
  <rcc rId="4128" sId="1">
    <nc r="B351" t="inlineStr">
      <is>
        <t>08</t>
      </is>
    </nc>
  </rcc>
  <rcc rId="4129" sId="1">
    <nc r="C351" t="inlineStr">
      <is>
        <t>04</t>
      </is>
    </nc>
  </rcc>
  <rcc rId="4130" sId="1">
    <nc r="D351" t="inlineStr">
      <is>
        <t>08402 83160</t>
      </is>
    </nc>
  </rcc>
  <rcc rId="4131" sId="1">
    <nc r="E351" t="inlineStr">
      <is>
        <t>242</t>
      </is>
    </nc>
  </rcc>
  <rcc rId="4132" sId="1" numFmtId="4">
    <nc r="F351">
      <v>250</v>
    </nc>
  </rcc>
  <rcc rId="4133" sId="1" numFmtId="4">
    <nc r="G351">
      <v>250</v>
    </nc>
  </rcc>
  <rcc rId="4134" sId="1">
    <nc r="B352" t="inlineStr">
      <is>
        <t>08</t>
      </is>
    </nc>
  </rcc>
  <rcc rId="4135" sId="1">
    <nc r="C352" t="inlineStr">
      <is>
        <t>04</t>
      </is>
    </nc>
  </rcc>
  <rcc rId="4136" sId="1">
    <nc r="D352" t="inlineStr">
      <is>
        <t>08402 83160</t>
      </is>
    </nc>
  </rcc>
  <rcc rId="4137" sId="1">
    <nc r="E352" t="inlineStr">
      <is>
        <t>244</t>
      </is>
    </nc>
  </rcc>
  <rcc rId="4138" sId="1">
    <nc r="F352">
      <f>1500+500</f>
    </nc>
  </rcc>
  <rcc rId="4139" sId="1">
    <nc r="G352">
      <f>1500+500</f>
    </nc>
  </rcc>
  <rcc rId="4140" sId="1">
    <oc r="F348">
      <f>SUM(F349:F353)</f>
    </oc>
    <nc r="F348">
      <f>SUM(F349:F353)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1" sId="1" numFmtId="4">
    <oc r="F363">
      <v>5420</v>
    </oc>
    <nc r="F363">
      <v>5941.1</v>
    </nc>
  </rcc>
  <rcc rId="4142" sId="1" numFmtId="4">
    <oc r="G363">
      <v>5420</v>
    </oc>
    <nc r="G363">
      <v>5941.1</v>
    </nc>
  </rcc>
  <rcc rId="4143" sId="1">
    <oc r="E363" t="inlineStr">
      <is>
        <t>312</t>
      </is>
    </oc>
    <nc r="E363" t="inlineStr">
      <is>
        <t>321</t>
      </is>
    </nc>
  </rcc>
  <rcc rId="4144" sId="1">
    <oc r="A363" t="inlineStr">
      <is>
        <t>Иные пенсии, социальные доплаты к пенсиям</t>
      </is>
    </oc>
    <nc r="A363" t="inlineStr">
      <is>
        <t>Пособия, компенсации и иные социальные выплаты гражданам, кроме публичных нормативных обязательств</t>
      </is>
    </nc>
  </rcc>
  <rcc rId="4145" sId="1" numFmtId="4">
    <oc r="F376">
      <v>1188.94</v>
    </oc>
    <nc r="F376">
      <v>1884.9</v>
    </nc>
  </rcc>
  <rcc rId="4146" sId="1" numFmtId="4">
    <oc r="G376">
      <v>1174.8699999999999</v>
    </oc>
    <nc r="G376">
      <v>1884.9</v>
    </nc>
  </rcc>
  <rcc rId="4147" sId="1" numFmtId="4">
    <oc r="F377">
      <v>359.06</v>
    </oc>
    <nc r="F377"/>
  </rcc>
  <rcc rId="4148" sId="1" numFmtId="4">
    <oc r="G377">
      <v>374.31</v>
    </oc>
    <nc r="G377"/>
  </rcc>
  <rcc rId="4149" sId="1" numFmtId="4">
    <oc r="F378">
      <v>26</v>
    </oc>
    <nc r="F378"/>
  </rcc>
  <rcc rId="4150" sId="1" numFmtId="4">
    <oc r="G378">
      <v>26</v>
    </oc>
    <nc r="G378"/>
  </rcc>
  <rcc rId="4151" sId="1" numFmtId="4">
    <oc r="F379">
      <v>44</v>
    </oc>
    <nc r="F379"/>
  </rcc>
  <rcc rId="4152" sId="1" numFmtId="4">
    <oc r="G379">
      <v>44</v>
    </oc>
    <nc r="G379"/>
  </rcc>
  <rcc rId="4153" sId="1" numFmtId="4">
    <oc r="F381">
      <v>1778.74</v>
    </oc>
    <nc r="F381">
      <v>2513.1999999999998</v>
    </nc>
  </rcc>
  <rcc rId="4154" sId="1" numFmtId="4">
    <oc r="G381">
      <v>1778.74</v>
    </oc>
    <nc r="G381">
      <v>2513.1999999999998</v>
    </nc>
  </rcc>
  <rcc rId="4155" sId="1" numFmtId="4">
    <oc r="F382">
      <v>536.79999999999995</v>
    </oc>
    <nc r="F382"/>
  </rcc>
  <rcc rId="4156" sId="1" numFmtId="4">
    <oc r="G382">
      <v>536.79999999999995</v>
    </oc>
    <nc r="G382"/>
  </rcc>
  <rcc rId="4157" sId="1" numFmtId="4">
    <oc r="F383">
      <v>140</v>
    </oc>
    <nc r="F383"/>
  </rcc>
  <rcc rId="4158" sId="1" numFmtId="4">
    <oc r="G383">
      <v>140</v>
    </oc>
    <nc r="G383"/>
  </rcc>
  <rcc rId="4159" sId="1" numFmtId="4">
    <oc r="F384">
      <v>241.16</v>
    </oc>
    <nc r="F384"/>
  </rcc>
  <rcc rId="4160" sId="1" numFmtId="4">
    <oc r="G384">
      <v>241.16</v>
    </oc>
    <nc r="G384"/>
  </rcc>
  <rcc rId="4161" sId="1" numFmtId="4">
    <oc r="F386">
      <f>136.8+41.355</f>
    </oc>
    <nc r="F386">
      <v>494.8</v>
    </nc>
  </rcc>
  <rcc rId="4162" sId="1" numFmtId="4">
    <oc r="G386">
      <f>136.8+41.355</f>
    </oc>
    <nc r="G386">
      <v>494.8</v>
    </nc>
  </rcc>
  <rcc rId="4163" sId="1">
    <oc r="F387">
      <f>41.3+12.49</f>
    </oc>
    <nc r="F387"/>
  </rcc>
  <rcc rId="4164" sId="1">
    <oc r="G387">
      <f>41.3+12.49</f>
    </oc>
    <nc r="G387"/>
  </rcc>
  <rcc rId="4165" sId="1">
    <oc r="F388">
      <f>145.8+29.37</f>
    </oc>
    <nc r="F388"/>
  </rcc>
  <rcc rId="4166" sId="1">
    <oc r="G388">
      <f>145.8+29.37</f>
    </oc>
    <nc r="G388"/>
  </rcc>
  <rcc rId="4167" sId="1" numFmtId="4">
    <oc r="F389">
      <v>14.685</v>
    </oc>
    <nc r="F389"/>
  </rcc>
  <rcc rId="4168" sId="1" numFmtId="4">
    <oc r="G389">
      <v>14.685</v>
    </oc>
    <nc r="G389"/>
  </rcc>
  <rcc rId="4169" sId="1" numFmtId="4">
    <oc r="F371">
      <v>2293.1</v>
    </oc>
    <nc r="F371">
      <f>1500+47.1</f>
    </nc>
  </rcc>
  <rcc rId="4170" sId="1" numFmtId="4">
    <oc r="G371">
      <v>2293.1</v>
    </oc>
    <nc r="G371">
      <f>1500+47.1</f>
    </nc>
  </rcc>
  <rcc rId="4171" sId="1" numFmtId="4">
    <oc r="F372">
      <v>309.10000000000002</v>
    </oc>
    <nc r="F372">
      <f>322</f>
    </nc>
  </rcc>
  <rcc rId="4172" sId="1" numFmtId="4">
    <oc r="G372">
      <v>309.10000000000002</v>
    </oc>
    <nc r="G372">
      <f>322</f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3" sId="1">
    <oc r="F371">
      <f>1500+47.1</f>
    </oc>
    <nc r="F371">
      <f>1500+47.1+233.1</f>
    </nc>
  </rcc>
  <rcc rId="4174" sId="1">
    <oc r="G371">
      <f>1500+47.1</f>
    </oc>
    <nc r="G371">
      <f>1500+47.1+233.1</f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5" sId="1" numFmtId="4">
    <oc r="F396">
      <v>150</v>
    </oc>
    <nc r="F396">
      <v>1000</v>
    </nc>
  </rcc>
  <rcc rId="4176" sId="1" numFmtId="4">
    <oc r="G396">
      <v>150</v>
    </oc>
    <nc r="G396">
      <v>1000</v>
    </nc>
  </rcc>
  <rcc rId="4177" sId="1" numFmtId="4">
    <oc r="F400">
      <v>2405</v>
    </oc>
    <nc r="F400">
      <f>859.2+2243.8</f>
    </nc>
  </rcc>
  <rcc rId="4178" sId="1" numFmtId="4">
    <oc r="G400">
      <v>2405</v>
    </oc>
    <nc r="G400">
      <f>859.2+2243.8</f>
    </nc>
  </rcc>
  <rcc rId="4179" sId="1" numFmtId="4">
    <oc r="F401">
      <v>726.31</v>
    </oc>
    <nc r="F401">
      <f>259.5+677.6</f>
    </nc>
  </rcc>
  <rcc rId="4180" sId="1" numFmtId="4">
    <oc r="G401">
      <v>726.31</v>
    </oc>
    <nc r="G401">
      <f>259.5+677.6</f>
    </nc>
  </rcc>
  <rcc rId="4181" sId="1" numFmtId="4">
    <oc r="F407">
      <v>24924.400000000001</v>
    </oc>
    <nc r="F407">
      <f>31385</f>
    </nc>
  </rcc>
  <rcc rId="4182" sId="1" numFmtId="4">
    <oc r="G407">
      <v>24924.400000000001</v>
    </oc>
    <nc r="G407">
      <f>31385</f>
    </nc>
  </rcc>
  <rcc rId="4183" sId="1" numFmtId="4">
    <oc r="F409">
      <v>13287.4</v>
    </oc>
    <nc r="F409">
      <v>13421.9</v>
    </nc>
  </rcc>
  <rcc rId="4184" sId="1" numFmtId="4">
    <oc r="G409">
      <v>13287.4</v>
    </oc>
    <nc r="G409">
      <v>13421.9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85" sId="1" odxf="1" dxf="1" numFmtId="4">
    <oc r="F415">
      <v>677.9</v>
    </oc>
    <nc r="F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6" sId="1" odxf="1" dxf="1" numFmtId="4">
    <oc r="G415">
      <v>677.9</v>
    </oc>
    <nc r="G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7" sId="1" odxf="1" dxf="1" numFmtId="4">
    <oc r="F416">
      <v>204.8</v>
    </oc>
    <nc r="F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8" sId="1" odxf="1" dxf="1" numFmtId="4">
    <oc r="G416">
      <v>204.8</v>
    </oc>
    <nc r="G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89" sId="1" ref="A420:XFD420" action="insertRow"/>
  <rrc rId="4190" sId="1" ref="A420:XFD420" action="insertRow"/>
  <rcc rId="4191" sId="1" odxf="1" dxf="1">
    <nc r="A420" t="inlineStr">
      <is>
        <t>Закупка товаров, работ, услуг в сфере информационно-коммуникационных технологий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2" sId="1" odxf="1" dxf="1">
    <nc r="A421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3" sId="1">
    <oc r="F417">
      <f>SUM(F418:F422)</f>
    </oc>
    <nc r="F417">
      <f>SUM(F418:F422)</f>
    </nc>
  </rcc>
  <rcc rId="4194" sId="1">
    <oc r="G417">
      <f>SUM(G418:G422)</f>
    </oc>
    <nc r="G417">
      <f>SUM(G418:G422)</f>
    </nc>
  </rcc>
  <rcc rId="4195" sId="1" numFmtId="4">
    <oc r="F418">
      <v>2678.7</v>
    </oc>
    <nc r="F418">
      <v>3946.4</v>
    </nc>
  </rcc>
  <rcc rId="4196" sId="1" numFmtId="4">
    <oc r="G418">
      <v>2678.7</v>
    </oc>
    <nc r="G418">
      <v>3946.4</v>
    </nc>
  </rcc>
  <rcc rId="4197" sId="1" numFmtId="4">
    <oc r="F419">
      <v>809</v>
    </oc>
    <nc r="F419">
      <v>1191.8</v>
    </nc>
  </rcc>
  <rcc rId="4198" sId="1" numFmtId="4">
    <oc r="G419">
      <v>809</v>
    </oc>
    <nc r="G419">
      <v>1191.8</v>
    </nc>
  </rcc>
  <rcc rId="4199" sId="1">
    <nc r="B420" t="inlineStr">
      <is>
        <t>11</t>
      </is>
    </nc>
  </rcc>
  <rcc rId="4200" sId="1">
    <nc r="C420" t="inlineStr">
      <is>
        <t>05</t>
      </is>
    </nc>
  </rcc>
  <rcc rId="4201" sId="1">
    <nc r="D420" t="inlineStr">
      <is>
        <t>09401 83170</t>
      </is>
    </nc>
  </rcc>
  <rcc rId="4202" sId="1">
    <nc r="E420" t="inlineStr">
      <is>
        <t>242</t>
      </is>
    </nc>
  </rcc>
  <rcc rId="4203" sId="1" numFmtId="4">
    <nc r="F420">
      <v>250</v>
    </nc>
  </rcc>
  <rcc rId="4204" sId="1" numFmtId="4">
    <nc r="G420">
      <v>250</v>
    </nc>
  </rcc>
  <rcc rId="4205" sId="1">
    <nc r="B421" t="inlineStr">
      <is>
        <t>11</t>
      </is>
    </nc>
  </rcc>
  <rcc rId="4206" sId="1">
    <nc r="C421" t="inlineStr">
      <is>
        <t>05</t>
      </is>
    </nc>
  </rcc>
  <rcc rId="4207" sId="1">
    <nc r="D421" t="inlineStr">
      <is>
        <t>09401 83170</t>
      </is>
    </nc>
  </rcc>
  <rcc rId="4208" sId="1">
    <nc r="E421" t="inlineStr">
      <is>
        <t>244</t>
      </is>
    </nc>
  </rcc>
  <rcc rId="4209" sId="1">
    <nc r="F421">
      <f>1500+500</f>
    </nc>
  </rcc>
  <rcc rId="4210" sId="1">
    <nc r="G421">
      <f>1500+500</f>
    </nc>
  </rcc>
  <rcc rId="4211" sId="1" numFmtId="4">
    <oc r="F422">
      <v>4</v>
    </oc>
    <nc r="F422">
      <v>5</v>
    </nc>
  </rcc>
  <rcc rId="4212" sId="1" numFmtId="4">
    <oc r="G422">
      <v>4</v>
    </oc>
    <nc r="G422">
      <v>5</v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3" sId="1" numFmtId="4">
    <oc r="F429">
      <v>23573.4</v>
    </oc>
    <nc r="F429">
      <v>24053.7</v>
    </nc>
  </rcc>
  <rcc rId="4214" sId="1" numFmtId="4">
    <oc r="G429">
      <v>23777.1</v>
    </oc>
    <nc r="G429">
      <v>24443.9</v>
    </nc>
  </rcc>
  <rcc rId="4215" sId="1" numFmtId="4">
    <oc r="F431">
      <v>126.5</v>
    </oc>
    <nc r="F431">
      <v>134.1</v>
    </nc>
  </rcc>
  <rcc rId="4216" sId="1" numFmtId="4">
    <oc r="G431">
      <v>131.6</v>
    </oc>
    <nc r="G431">
      <v>139.5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7" sId="1" numFmtId="34">
    <oc r="F432">
      <v>9667.11</v>
    </oc>
    <nc r="F432">
      <v>10342.965</v>
    </nc>
  </rcc>
  <rcc rId="4218" sId="1" numFmtId="34">
    <oc r="G432">
      <v>19463.325000000001</v>
    </oc>
    <nc r="G432">
      <v>21040.994999999999</v>
    </nc>
  </rcc>
  <rcc rId="4219" sId="1" numFmtId="34">
    <oc r="F435">
      <f>1103337.9+227787.8</f>
    </oc>
    <nc r="F435">
      <v>1512934.9</v>
    </nc>
  </rcc>
  <rcc rId="4220" sId="1" numFmtId="34">
    <oc r="G435">
      <f>913320.1+230369.9</f>
    </oc>
    <nc r="G435">
      <v>1455742.5999999999</v>
    </nc>
  </rcc>
  <rcc rId="4221" sId="1">
    <oc r="F18">
      <f>SUM(F19:F20)</f>
    </oc>
    <nc r="F18">
      <f>SUM(F19:F20)</f>
    </nc>
  </rcc>
  <rcc rId="4222" sId="1">
    <oc r="F24">
      <f>SUM(F25:F28)</f>
    </oc>
    <nc r="F24">
      <f>SUM(F25:F28)</f>
    </nc>
  </rcc>
  <rcc rId="4223" sId="1">
    <oc r="F46">
      <f>SUM(F47:F50)</f>
    </oc>
    <nc r="F46">
      <f>SUM(F47:F50)</f>
    </nc>
  </rcc>
  <rcc rId="4224" sId="1">
    <oc r="F73">
      <f>SUM(F74:F75)</f>
    </oc>
    <nc r="F73">
      <f>SUM(F74:F75)</f>
    </nc>
  </rcc>
  <rcc rId="4225" sId="1" numFmtId="4">
    <oc r="F97">
      <v>350</v>
    </oc>
    <nc r="F97"/>
  </rcc>
  <rcc rId="4226" sId="1" numFmtId="4">
    <oc r="G97">
      <v>370</v>
    </oc>
    <nc r="G97"/>
  </rcc>
  <rrc rId="4227" sId="1" ref="A94:XFD94" action="deleteRow">
    <undo index="65535" exp="ref" v="1" dr="G94" r="G55" sId="1"/>
    <undo index="65535" exp="ref" v="1" dr="F94" r="F55" sId="1"/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>
      <nc r="B94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8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9" sId="1" ref="A94:XFD94" action="deleteRow">
    <rfmt sheetId="1" xfDxf="1" sqref="A94:XFD94" start="0" length="0">
      <dxf>
        <font>
          <i/>
          <name val="Times New Roman CYR"/>
          <family val="1"/>
        </font>
        <alignment wrapText="1"/>
      </dxf>
    </rfmt>
    <rcc rId="0" sId="1" dxf="1">
      <nc r="A9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30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31" sId="1">
    <oc r="F55">
      <f>F56+F66+F82+F86+F90+F94+F70+#REF!</f>
    </oc>
    <nc r="F55">
      <f>F56+F66+F82+F86+F90+F94+F70</f>
    </nc>
  </rcc>
  <rcc rId="4232" sId="1">
    <oc r="G55">
      <f>G56+G66+G82+G86+G90+G94+G70+#REF!</f>
    </oc>
    <nc r="G55">
      <f>G56+G66+G82+G86+G90+G94+G70</f>
    </nc>
  </rcc>
  <rcc rId="4233" sId="1">
    <oc r="F116">
      <f>SUM(F117:F122)</f>
    </oc>
    <nc r="F116">
      <f>SUM(F117:F122)</f>
    </nc>
  </rcc>
  <rcc rId="4234" sId="1" numFmtId="4">
    <oc r="F30">
      <v>1641.1</v>
    </oc>
    <nc r="F30">
      <v>2321.6</v>
    </nc>
  </rcc>
  <rcc rId="4235" sId="1" numFmtId="4">
    <oc r="G30">
      <v>1641.1</v>
    </oc>
    <nc r="G30">
      <v>2321.6</v>
    </nc>
  </rcc>
  <rcc rId="4236" sId="1" numFmtId="4">
    <oc r="F31">
      <v>495.6</v>
    </oc>
    <nc r="F31">
      <v>701.1</v>
    </nc>
  </rcc>
  <rcc rId="4237" sId="1" numFmtId="4">
    <oc r="G31">
      <v>495.6</v>
    </oc>
    <nc r="G31">
      <v>701.1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38" sId="1" ref="A308:XFD310" action="insertRow"/>
  <rfmt sheetId="1" sqref="A30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308" start="0" length="0">
    <dxf>
      <font>
        <i/>
        <name val="Times New Roman"/>
        <family val="1"/>
      </font>
    </dxf>
  </rfmt>
  <rfmt sheetId="1" sqref="C308" start="0" length="0">
    <dxf>
      <font>
        <i/>
        <name val="Times New Roman"/>
        <family val="1"/>
      </font>
    </dxf>
  </rfmt>
  <rfmt sheetId="1" sqref="D308" start="0" length="0">
    <dxf>
      <font>
        <i/>
        <name val="Times New Roman"/>
        <family val="1"/>
      </font>
    </dxf>
  </rfmt>
  <rfmt sheetId="1" sqref="E308" start="0" length="0">
    <dxf>
      <font>
        <i/>
        <name val="Times New Roman"/>
        <family val="1"/>
      </font>
    </dxf>
  </rfmt>
  <rfmt sheetId="1" sqref="F308" start="0" length="0">
    <dxf>
      <font>
        <i/>
        <name val="Times New Roman"/>
        <family val="1"/>
      </font>
    </dxf>
  </rfmt>
  <rfmt sheetId="1" sqref="G308" start="0" length="0">
    <dxf>
      <font>
        <i/>
        <name val="Times New Roman"/>
        <family val="1"/>
      </font>
    </dxf>
  </rfmt>
  <rfmt sheetId="1" sqref="H308" start="0" length="0">
    <dxf>
      <font>
        <i val="0"/>
        <name val="Times New Roman CYR"/>
        <family val="1"/>
      </font>
    </dxf>
  </rfmt>
  <rfmt sheetId="1" sqref="I308" start="0" length="0">
    <dxf>
      <font>
        <i val="0"/>
        <name val="Times New Roman CYR"/>
        <family val="1"/>
      </font>
    </dxf>
  </rfmt>
  <rfmt sheetId="1" sqref="A308:XFD308" start="0" length="0">
    <dxf>
      <font>
        <i val="0"/>
        <name val="Times New Roman CYR"/>
        <family val="1"/>
      </font>
    </dxf>
  </rfmt>
  <rfmt sheetId="1" sqref="A309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9" start="0" length="0">
    <dxf>
      <font>
        <i val="0"/>
        <name val="Times New Roman CYR"/>
        <family val="1"/>
      </font>
    </dxf>
  </rfmt>
  <rfmt sheetId="1" sqref="I309" start="0" length="0">
    <dxf>
      <font>
        <i val="0"/>
        <name val="Times New Roman CYR"/>
        <family val="1"/>
      </font>
    </dxf>
  </rfmt>
  <rfmt sheetId="1" sqref="A309:XFD309" start="0" length="0">
    <dxf>
      <font>
        <i val="0"/>
        <name val="Times New Roman CYR"/>
        <family val="1"/>
      </font>
    </dxf>
  </rfmt>
  <rfmt sheetId="1" sqref="A310" start="0" length="0">
    <dxf>
      <border outline="0">
        <left style="thin">
          <color indexed="64"/>
        </left>
      </border>
    </dxf>
  </rfmt>
  <rfmt sheetId="1" sqref="H310" start="0" length="0">
    <dxf>
      <font>
        <i val="0"/>
        <name val="Times New Roman CYR"/>
        <family val="1"/>
      </font>
    </dxf>
  </rfmt>
  <rfmt sheetId="1" sqref="I310" start="0" length="0">
    <dxf>
      <font>
        <i val="0"/>
        <name val="Times New Roman CYR"/>
        <family val="1"/>
      </font>
    </dxf>
  </rfmt>
  <rfmt sheetId="1" sqref="A310:XFD310" start="0" length="0">
    <dxf>
      <font>
        <i val="0"/>
        <name val="Times New Roman CYR"/>
        <family val="1"/>
      </font>
    </dxf>
  </rfmt>
  <rcc rId="4239" sId="1" odxf="1" dxf="1">
    <nc r="A308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240" sId="1">
    <nc r="A309" t="inlineStr">
      <is>
        <t xml:space="preserve">Фонд оплаты труда учреждений </t>
      </is>
    </nc>
  </rcc>
  <rcc rId="4241" sId="1">
    <nc r="A31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242" sId="1">
    <nc r="B308" t="inlineStr">
      <is>
        <t>07</t>
      </is>
    </nc>
  </rcc>
  <rcc rId="4243" sId="1">
    <nc r="C308" t="inlineStr">
      <is>
        <t>09</t>
      </is>
    </nc>
  </rcc>
  <rcc rId="4244" sId="1">
    <nc r="D308" t="inlineStr">
      <is>
        <t>10501 S2160</t>
      </is>
    </nc>
  </rcc>
  <rcc rId="4245" sId="1" odxf="1" dxf="1">
    <nc r="F308">
      <f>SUM(F309:F310)</f>
    </nc>
    <ndxf>
      <fill>
        <patternFill patternType="solid">
          <bgColor theme="0"/>
        </patternFill>
      </fill>
    </ndxf>
  </rcc>
  <rcc rId="4246" sId="1" odxf="1" dxf="1">
    <nc r="G308">
      <f>SUM(G309:G310)</f>
    </nc>
    <ndxf>
      <fill>
        <patternFill patternType="solid">
          <bgColor theme="0"/>
        </patternFill>
      </fill>
    </ndxf>
  </rcc>
  <rcc rId="4247" sId="1">
    <nc r="B309" t="inlineStr">
      <is>
        <t>07</t>
      </is>
    </nc>
  </rcc>
  <rcc rId="4248" sId="1">
    <nc r="C309" t="inlineStr">
      <is>
        <t>09</t>
      </is>
    </nc>
  </rcc>
  <rcc rId="4249" sId="1">
    <nc r="D309" t="inlineStr">
      <is>
        <t>10501  S2160</t>
      </is>
    </nc>
  </rcc>
  <rcc rId="4250" sId="1">
    <nc r="E309" t="inlineStr">
      <is>
        <t>111</t>
      </is>
    </nc>
  </rcc>
  <rcc rId="4251" sId="1" numFmtId="4">
    <nc r="F309">
      <f>34989.6+1082.2</f>
    </nc>
  </rcc>
  <rcc rId="4252" sId="1" numFmtId="4">
    <nc r="G309">
      <f>34989.6+1082.2</f>
    </nc>
  </rcc>
  <rcc rId="4253" sId="1">
    <nc r="B310" t="inlineStr">
      <is>
        <t>07</t>
      </is>
    </nc>
  </rcc>
  <rcc rId="4254" sId="1">
    <nc r="C310" t="inlineStr">
      <is>
        <t>09</t>
      </is>
    </nc>
  </rcc>
  <rcc rId="4255" sId="1">
    <nc r="D310" t="inlineStr">
      <is>
        <t>10501 S2160</t>
      </is>
    </nc>
  </rcc>
  <rcc rId="4256" sId="1">
    <nc r="E310" t="inlineStr">
      <is>
        <t>119</t>
      </is>
    </nc>
  </rcc>
  <rcc rId="4257" sId="1" numFmtId="4">
    <nc r="F310">
      <f>10566.8+326.8</f>
    </nc>
  </rcc>
  <rcc rId="4258" sId="1" numFmtId="4">
    <nc r="G310">
      <f>10566.8+326.8</f>
    </nc>
  </rcc>
  <rcc rId="4259" sId="1">
    <oc r="F294">
      <f>F297+F300+F295</f>
    </oc>
    <nc r="F294">
      <f>F297+F300+F295+F308</f>
    </nc>
  </rcc>
  <rcc rId="4260" sId="1">
    <oc r="G294">
      <f>G297+G300+G295</f>
    </oc>
    <nc r="G294">
      <f>G297+G300+G295+G308</f>
    </nc>
  </rcc>
  <rcc rId="4261" sId="1">
    <oc r="F200">
      <f>F201</f>
    </oc>
    <nc r="F200">
      <f>F201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2" sId="1">
    <oc r="F209">
      <f>26093.8+904.7+15000+10000</f>
    </oc>
    <nc r="F209">
      <f>16093.8</f>
    </nc>
  </rcc>
  <rcc rId="4263" sId="1">
    <oc r="G209">
      <f>26093.8+904.7+15000+10000</f>
    </oc>
    <nc r="G209">
      <f>16093.8</f>
    </nc>
  </rcc>
  <rcc rId="4264" sId="1">
    <oc r="F223">
      <f>62629.8+4758.7+30000+15000</f>
    </oc>
    <nc r="F223">
      <f>43870.5</f>
    </nc>
  </rcc>
  <rcc rId="4265" sId="1" numFmtId="4">
    <oc r="G223">
      <f>62629.8+4758.7+30000+13421.405</f>
    </oc>
    <nc r="G223">
      <v>42291.904999999999</v>
    </nc>
  </rcc>
  <rcc rId="4266" sId="1">
    <oc r="F252">
      <f>8525.8+100+72.7</f>
    </oc>
    <nc r="F252">
      <f>8525.8</f>
    </nc>
  </rcc>
  <rcc rId="4267" sId="1">
    <oc r="G252">
      <f>8525.8+100+72.7</f>
    </oc>
    <nc r="G252">
      <f>8525.8</f>
    </nc>
  </rcc>
  <rcc rId="4268" sId="1">
    <oc r="F253">
      <f>15665.9+777.6+37.1</f>
    </oc>
    <nc r="F253">
      <f>15665.9</f>
    </nc>
  </rcc>
  <rcc rId="4269" sId="1">
    <oc r="G253">
      <f>15665.9+777.6+37.1</f>
    </oc>
    <nc r="G253">
      <f>15665.9</f>
    </nc>
  </rcc>
  <rcc rId="4270" sId="1" numFmtId="4">
    <oc r="F303">
      <v>1500</v>
    </oc>
    <nc r="F303">
      <v>200</v>
    </nc>
  </rcc>
  <rcc rId="4271" sId="1" numFmtId="4">
    <oc r="G303">
      <v>1500</v>
    </oc>
    <nc r="G303">
      <v>200</v>
    </nc>
  </rcc>
  <rcc rId="4272" sId="1" numFmtId="4">
    <oc r="F304">
      <f>15.5+5000+1500</f>
    </oc>
    <nc r="F304">
      <v>300</v>
    </nc>
  </rcc>
  <rcc rId="4273" sId="1" numFmtId="4">
    <oc r="G304">
      <f>15.5+5000+1500</f>
    </oc>
    <nc r="G304">
      <v>300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4">
    <oc r="F336">
      <v>1000</v>
    </oc>
    <nc r="F336">
      <v>500</v>
    </nc>
  </rcc>
  <rcc rId="4275" sId="1" numFmtId="4">
    <oc r="G336">
      <v>1000</v>
    </oc>
    <nc r="G336">
      <v>500</v>
    </nc>
  </rcc>
  <rcc rId="4276" sId="1" numFmtId="4">
    <oc r="F351">
      <f>1500+500</f>
    </oc>
    <nc r="F351">
      <v>500</v>
    </nc>
  </rcc>
  <rcc rId="4277" sId="1" numFmtId="4">
    <oc r="G351">
      <f>1500+500</f>
    </oc>
    <nc r="G351">
      <v>500</v>
    </nc>
  </rcc>
  <rcc rId="4278" sId="1" numFmtId="4">
    <oc r="F395">
      <v>1000</v>
    </oc>
    <nc r="F395">
      <v>500</v>
    </nc>
  </rcc>
  <rcc rId="4279" sId="1" numFmtId="4">
    <oc r="G395">
      <v>1000</v>
    </oc>
    <nc r="G395">
      <v>500</v>
    </nc>
  </rcc>
  <rcc rId="4280" sId="1" numFmtId="4">
    <oc r="F420">
      <f>1500+500</f>
    </oc>
    <nc r="F420">
      <v>500</v>
    </nc>
  </rcc>
  <rcc rId="4281" sId="1" numFmtId="4">
    <oc r="G420">
      <f>1500+500</f>
    </oc>
    <nc r="G420">
      <v>500</v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2" sId="1">
    <oc r="F252">
      <f>8525.8</f>
    </oc>
    <nc r="F252">
      <f>8525.8</f>
    </nc>
  </rcc>
  <rcc rId="4283" sId="1">
    <oc r="G252">
      <f>8525.8</f>
    </oc>
    <nc r="G252">
      <f>8525.8</f>
    </nc>
  </rcc>
  <rcc rId="4284" sId="1">
    <oc r="F253">
      <f>15665.9</f>
    </oc>
    <nc r="F253">
      <f>15665</f>
    </nc>
  </rcc>
  <rcc rId="4285" sId="1">
    <oc r="G253">
      <f>15665.9</f>
    </oc>
    <nc r="G253">
      <f>15665</f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6" sId="1">
    <oc r="F367">
      <f>3010.8+61.4+344.6</f>
    </oc>
    <nc r="F367"/>
  </rcc>
  <rrc rId="4287" sId="1" ref="A364:XFD364" action="deleteRow">
    <undo index="65535" exp="ref" v="1" dr="G364" r="G363" sId="1"/>
    <undo index="65535" exp="ref" v="1" dr="F364" r="F363" sId="1"/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</ndxf>
    </rcc>
    <rcc rId="0" sId="1" dxf="1">
      <nc r="B364" t="inlineStr">
        <is>
          <t>10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8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0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4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6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1" sId="1">
    <oc r="F363">
      <f>F364+#REF!</f>
    </oc>
    <nc r="F363">
      <f>F364</f>
    </nc>
  </rcc>
  <rcc rId="4292" sId="1">
    <oc r="G363">
      <f>G364+#REF!</f>
    </oc>
    <nc r="G363">
      <f>G364</f>
    </nc>
  </rcc>
  <rcc rId="4293" sId="1">
    <oc r="F402">
      <f>31385</f>
    </oc>
    <nc r="F402">
      <f>21385</f>
    </nc>
  </rcc>
  <rcc rId="4294" sId="1">
    <oc r="G402">
      <f>31385</f>
    </oc>
    <nc r="G402">
      <f>21385</f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5" sId="1" numFmtId="4">
    <oc r="F99">
      <v>923.5</v>
    </oc>
    <nc r="F99">
      <v>603.70000000000005</v>
    </nc>
  </rcc>
  <rcc rId="4296" sId="1" numFmtId="4">
    <oc r="G99">
      <v>923.5</v>
    </oc>
    <nc r="G99">
      <v>603.70000000000005</v>
    </nc>
  </rcc>
  <rcc rId="4297" sId="1" numFmtId="4">
    <nc r="F100">
      <v>5</v>
    </nc>
  </rcc>
  <rcc rId="4298" sId="1" numFmtId="4">
    <nc r="G100">
      <v>5</v>
    </nc>
  </rcc>
  <rcc rId="4299" sId="1" numFmtId="4">
    <nc r="F101">
      <v>182.3</v>
    </nc>
  </rcc>
  <rcc rId="4300" sId="1" numFmtId="4">
    <nc r="G101">
      <v>182.3</v>
    </nc>
  </rcc>
  <rcc rId="4301" sId="1" numFmtId="4">
    <nc r="F102">
      <v>36.5</v>
    </nc>
  </rcc>
  <rcc rId="4302" sId="1" numFmtId="4">
    <nc r="G102">
      <v>36.5</v>
    </nc>
  </rcc>
  <rcc rId="4303" sId="1">
    <nc r="F103">
      <f>50+46</f>
    </nc>
  </rcc>
  <rcc rId="4304" sId="1">
    <nc r="G103">
      <f>50+46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5" sId="1" numFmtId="4">
    <oc r="F371">
      <v>1884.9</v>
    </oc>
    <nc r="F371">
      <v>1393.9</v>
    </nc>
  </rcc>
  <rcc rId="4306" sId="1" numFmtId="4">
    <nc r="F372">
      <v>420.9</v>
    </nc>
  </rcc>
  <rcc rId="4307" sId="1">
    <nc r="F373">
      <f>15+6</f>
    </nc>
  </rcc>
  <rcc rId="4308" sId="1">
    <nc r="F374">
      <f>44.1+5</f>
    </nc>
  </rcc>
  <rcc rId="4309" sId="1" numFmtId="4">
    <oc r="G371">
      <v>1884.9</v>
    </oc>
    <nc r="G371">
      <v>1393.9</v>
    </nc>
  </rcc>
  <rcc rId="4310" sId="1" numFmtId="4">
    <nc r="G372">
      <v>420.9</v>
    </nc>
  </rcc>
  <rcc rId="4311" sId="1">
    <nc r="G373">
      <f>15+6</f>
    </nc>
  </rcc>
  <rcc rId="4312" sId="1">
    <nc r="G374">
      <f>44.1+5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3" sId="1" numFmtId="4">
    <oc r="F381">
      <v>494.8</v>
    </oc>
    <nc r="F381">
      <v>209.01599999999999</v>
    </nc>
  </rcc>
  <rcc rId="4314" sId="1" numFmtId="4">
    <oc r="G381">
      <v>494.8</v>
    </oc>
    <nc r="G381">
      <v>209.01599999999999</v>
    </nc>
  </rcc>
  <rcc rId="4315" sId="1" numFmtId="4">
    <nc r="F382">
      <v>63.124000000000002</v>
    </nc>
  </rcc>
  <rcc rId="4316" sId="1" numFmtId="4">
    <nc r="G382">
      <v>63.124000000000002</v>
    </nc>
  </rcc>
  <rcc rId="4317" sId="1" numFmtId="4">
    <nc r="F383">
      <v>148.44</v>
    </nc>
  </rcc>
  <rcc rId="4318" sId="1" numFmtId="4">
    <nc r="G383">
      <v>148.44</v>
    </nc>
  </rcc>
  <rcc rId="4319" sId="1" numFmtId="4">
    <nc r="F384">
      <v>74.22</v>
    </nc>
  </rcc>
  <rcc rId="4320" sId="1" numFmtId="4">
    <nc r="G384">
      <v>74.22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21" sId="1" ref="A98:XFD99" action="insertRow"/>
  <rcc rId="4322" sId="1">
    <nc r="A98" t="inlineStr">
      <is>
        <t>Закупка товаров, работ и услуг в сфере информационно-коммуникационных технологий</t>
      </is>
    </nc>
  </rcc>
  <rcc rId="4323" sId="1">
    <nc r="B98" t="inlineStr">
      <is>
        <t>01</t>
      </is>
    </nc>
  </rcc>
  <rcc rId="4324" sId="1">
    <nc r="C98" t="inlineStr">
      <is>
        <t>13</t>
      </is>
    </nc>
  </rcc>
  <rcc rId="4325" sId="1">
    <nc r="E98" t="inlineStr">
      <is>
        <t>242</t>
      </is>
    </nc>
  </rcc>
  <rcc rId="4326" sId="1">
    <nc r="A99" t="inlineStr">
      <is>
        <t>Прочие закупки товаров, работ и услуг для государственных (муниципальных) нужд</t>
      </is>
    </nc>
  </rcc>
  <rcc rId="4327" sId="1">
    <nc r="B99" t="inlineStr">
      <is>
        <t>01</t>
      </is>
    </nc>
  </rcc>
  <rcc rId="4328" sId="1">
    <nc r="C99" t="inlineStr">
      <is>
        <t>13</t>
      </is>
    </nc>
  </rcc>
  <rcc rId="4329" sId="1">
    <nc r="E99" t="inlineStr">
      <is>
        <t>244</t>
      </is>
    </nc>
  </rcc>
  <rcc rId="4330" sId="1">
    <nc r="D98" t="inlineStr">
      <is>
        <t>99900 73100</t>
      </is>
    </nc>
  </rcc>
  <rcc rId="4331" sId="1">
    <nc r="D99" t="inlineStr">
      <is>
        <t>99900 73100</t>
      </is>
    </nc>
  </rcc>
  <rcc rId="4332" sId="1" numFmtId="4">
    <oc r="F96">
      <v>412.2</v>
    </oc>
    <nc r="F96">
      <v>271.89999999999998</v>
    </nc>
  </rcc>
  <rcc rId="4333" sId="1" numFmtId="4">
    <nc r="F97">
      <v>82.1</v>
    </nc>
  </rcc>
  <rcc rId="4334" sId="1" numFmtId="4">
    <nc r="F98">
      <v>18</v>
    </nc>
  </rcc>
  <rcc rId="4335" sId="1" numFmtId="4">
    <nc r="F99">
      <v>40.200000000000003</v>
    </nc>
  </rcc>
  <rcc rId="4336" sId="1" numFmtId="4">
    <oc r="G96">
      <v>412.2</v>
    </oc>
    <nc r="G96">
      <v>271.89999999999998</v>
    </nc>
  </rcc>
  <rcc rId="4337" sId="1" numFmtId="4">
    <nc r="G97">
      <v>82.1</v>
    </nc>
  </rcc>
  <rcc rId="4338" sId="1" numFmtId="4">
    <nc r="G98">
      <v>18</v>
    </nc>
  </rcc>
  <rcc rId="4339" sId="1" numFmtId="4">
    <nc r="G99">
      <v>40.200000000000003</v>
    </nc>
  </rcc>
  <rcc rId="4340" sId="1">
    <oc r="F95">
      <f>SUM(F96:F97)</f>
    </oc>
    <nc r="F95">
      <f>SUM(F96:F99)</f>
    </nc>
  </rcc>
  <rcc rId="4341" sId="1">
    <oc r="G95">
      <f>SUM(G96:G97)</f>
    </oc>
    <nc r="G95">
      <f>SUM(G96:G99)</f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2" sId="1" numFmtId="4">
    <oc r="F378">
      <v>2513.1999999999998</v>
    </oc>
    <nc r="F378">
      <v>1732</v>
    </nc>
  </rcc>
  <rcc rId="4343" sId="1" numFmtId="4">
    <nc r="F379">
      <v>523.1</v>
    </nc>
  </rcc>
  <rcc rId="4344" sId="1" numFmtId="4">
    <nc r="F380">
      <v>183.2</v>
    </nc>
  </rcc>
  <rcc rId="4345" sId="1" numFmtId="4">
    <nc r="F381">
      <v>74.900000000000006</v>
    </nc>
  </rcc>
  <rcc rId="4346" sId="1" numFmtId="4">
    <oc r="G378">
      <v>2513.1999999999998</v>
    </oc>
    <nc r="G378">
      <v>1732</v>
    </nc>
  </rcc>
  <rcc rId="4347" sId="1" numFmtId="4">
    <nc r="G379">
      <v>523.1</v>
    </nc>
  </rcc>
  <rcc rId="4348" sId="1" numFmtId="4">
    <nc r="G380">
      <v>183.2</v>
    </nc>
  </rcc>
  <rcc rId="4349" sId="1" numFmtId="4">
    <nc r="G381">
      <v>74.900000000000006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0" sId="1">
    <oc r="F166">
      <f>100000+3000</f>
    </oc>
    <nc r="F166">
      <f>100000+3092.78</f>
    </nc>
  </rcc>
  <rcc rId="4351" sId="1">
    <oc r="G166">
      <f>100000+3000</f>
    </oc>
    <nc r="G166">
      <f>100000+3092.78</f>
    </nc>
  </rcc>
  <rcc rId="4352" sId="1">
    <oc r="F164">
      <f>17764.6-44.16-3000</f>
    </oc>
    <nc r="F164">
      <f>17764.6-44.16-3092.78</f>
    </nc>
  </rcc>
  <rcc rId="4353" sId="1">
    <oc r="G164">
      <f>17764.6-44.16-3000</f>
    </oc>
    <nc r="G164">
      <f>17764.6-44.16-3092.78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4" sId="1" numFmtId="4">
    <oc r="F198">
      <v>16327.6</v>
    </oc>
    <nc r="F198">
      <v>8886.66</v>
    </nc>
  </rcc>
  <rcc rId="4355" sId="1" numFmtId="4">
    <oc r="G198">
      <v>16327.6</v>
    </oc>
    <nc r="G198">
      <v>8886.66</v>
    </nc>
  </rcc>
  <rrc rId="4356" sId="1" ref="A195:XFD198" action="insertRow"/>
  <rfmt sheetId="1" sqref="A195" start="0" length="0">
    <dxf>
      <fill>
        <patternFill patternType="none">
          <bgColor indexed="65"/>
        </patternFill>
      </fill>
      <alignment vertical="top"/>
    </dxf>
  </rfmt>
  <rfmt sheetId="1" sqref="B195" start="0" length="0">
    <dxf>
      <fill>
        <patternFill patternType="none">
          <bgColor indexed="65"/>
        </patternFill>
      </fill>
    </dxf>
  </rfmt>
  <rfmt sheetId="1" sqref="C195" start="0" length="0">
    <dxf>
      <fill>
        <patternFill patternType="none">
          <bgColor indexed="65"/>
        </patternFill>
      </fill>
    </dxf>
  </rfmt>
  <rfmt sheetId="1" sqref="D195" start="0" length="0">
    <dxf>
      <fill>
        <patternFill patternType="none">
          <bgColor indexed="65"/>
        </patternFill>
      </fill>
    </dxf>
  </rfmt>
  <rfmt sheetId="1" sqref="E195" start="0" length="0">
    <dxf>
      <fill>
        <patternFill patternType="none">
          <bgColor indexed="65"/>
        </patternFill>
      </fill>
    </dxf>
  </rfmt>
  <rfmt sheetId="1" sqref="F195" start="0" length="0">
    <dxf>
      <fill>
        <patternFill patternType="none">
          <bgColor indexed="65"/>
        </patternFill>
      </fill>
    </dxf>
  </rfmt>
  <rfmt sheetId="1" sqref="G195" start="0" length="0">
    <dxf>
      <fill>
        <patternFill patternType="none">
          <bgColor indexed="65"/>
        </patternFill>
      </fill>
    </dxf>
  </rfmt>
  <rfmt sheetId="1" sqref="A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197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357" sId="1" odxf="1" dxf="1">
    <nc r="A198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19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border outline="0">
        <left/>
        <right/>
        <top/>
        <bottom/>
      </border>
    </ndxf>
  </rcc>
  <rcc rId="4359" sId="1" odxf="1" dxf="1">
    <nc r="A196" t="inlineStr">
      <is>
        <t>Основное мероприятие "Благоустройство дворовых и общественных территорий "</t>
      </is>
    </nc>
    <ndxf>
      <alignment horizontal="left" vertical="center"/>
    </ndxf>
  </rcc>
  <rcc rId="4360" sId="1" odxf="1" dxf="1">
    <nc r="A19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font>
        <color indexed="8"/>
        <name val="Times New Roman"/>
        <family val="1"/>
      </font>
      <fill>
        <patternFill patternType="none"/>
      </fill>
    </ndxf>
  </rcc>
  <rcc rId="4361" sId="1">
    <nc r="B195" t="inlineStr">
      <is>
        <t>05</t>
      </is>
    </nc>
  </rcc>
  <rcc rId="4362" sId="1">
    <nc r="C195" t="inlineStr">
      <is>
        <t>03</t>
      </is>
    </nc>
  </rcc>
  <rcc rId="4363" sId="1">
    <nc r="D195" t="inlineStr">
      <is>
        <t>16000 00000</t>
      </is>
    </nc>
  </rcc>
  <rcc rId="4364" sId="1">
    <nc r="F195">
      <f>F196</f>
    </nc>
  </rcc>
  <rcc rId="4365" sId="1">
    <nc r="G195">
      <f>G196</f>
    </nc>
  </rcc>
  <rcc rId="4366" sId="1">
    <nc r="B196" t="inlineStr">
      <is>
        <t>05</t>
      </is>
    </nc>
  </rcc>
  <rcc rId="4367" sId="1">
    <nc r="C196" t="inlineStr">
      <is>
        <t>03</t>
      </is>
    </nc>
  </rcc>
  <rcc rId="4368" sId="1">
    <nc r="D196" t="inlineStr">
      <is>
        <t>160F2 00000</t>
      </is>
    </nc>
  </rcc>
  <rfmt sheetId="1" sqref="E196" start="0" length="0">
    <dxf>
      <numFmt numFmtId="0" formatCode="General"/>
      <alignment horizontal="general" vertical="top"/>
    </dxf>
  </rfmt>
  <rcc rId="4369" sId="1">
    <nc r="F196">
      <f>F197</f>
    </nc>
  </rcc>
  <rcc rId="4370" sId="1">
    <nc r="G196">
      <f>G197</f>
    </nc>
  </rcc>
  <rcc rId="4371" sId="1">
    <nc r="B197" t="inlineStr">
      <is>
        <t>05</t>
      </is>
    </nc>
  </rcc>
  <rcc rId="4372" sId="1">
    <nc r="C197" t="inlineStr">
      <is>
        <t>03</t>
      </is>
    </nc>
  </rcc>
  <rcc rId="4373" sId="1">
    <nc r="D197" t="inlineStr">
      <is>
        <t>160F2 55550</t>
      </is>
    </nc>
  </rcc>
  <rfmt sheetId="1" sqref="E197" start="0" length="0">
    <dxf>
      <numFmt numFmtId="0" formatCode="General"/>
      <alignment horizontal="general" vertical="top"/>
    </dxf>
  </rfmt>
  <rcc rId="4374" sId="1">
    <nc r="F197">
      <f>F198</f>
    </nc>
  </rcc>
  <rcc rId="4375" sId="1">
    <nc r="G197">
      <f>G198</f>
    </nc>
  </rcc>
  <rcc rId="4376" sId="1">
    <nc r="B198" t="inlineStr">
      <is>
        <t>05</t>
      </is>
    </nc>
  </rcc>
  <rcc rId="4377" sId="1">
    <nc r="C198" t="inlineStr">
      <is>
        <t>03</t>
      </is>
    </nc>
  </rcc>
  <rcc rId="4378" sId="1">
    <nc r="D198" t="inlineStr">
      <is>
        <t>160F2 55550</t>
      </is>
    </nc>
  </rcc>
  <rcc rId="4379" sId="1" odxf="1" dxf="1">
    <nc r="E198" t="inlineStr">
      <is>
        <t>540</t>
      </is>
    </nc>
    <ndxf>
      <fill>
        <patternFill patternType="solid">
          <bgColor theme="0"/>
        </patternFill>
      </fill>
    </ndxf>
  </rcc>
  <rcc rId="4380" sId="1" odxf="1" dxf="1" numFmtId="4">
    <nc r="F198">
      <v>16866.5</v>
    </nc>
    <ndxf>
      <fill>
        <patternFill patternType="solid">
          <bgColor rgb="FF92D050"/>
        </patternFill>
      </fill>
    </ndxf>
  </rcc>
  <rcc rId="4381" sId="1" odxf="1" dxf="1" numFmtId="4">
    <nc r="G198">
      <v>16183.9</v>
    </nc>
    <ndxf>
      <fill>
        <patternFill patternType="solid">
          <bgColor rgb="FF92D050"/>
        </patternFill>
      </fill>
    </ndxf>
  </rcc>
  <rcc rId="4382" sId="1">
    <oc r="F194">
      <f>F199</f>
    </oc>
    <nc r="F194">
      <f>F199+F195</f>
    </nc>
  </rcc>
  <rcc rId="4383" sId="1">
    <oc r="G194">
      <f>G199</f>
    </oc>
    <nc r="G194">
      <f>G199+G195</f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84" sId="1" numFmtId="4">
    <oc r="F432">
      <v>134.1</v>
    </oc>
    <nc r="F432">
      <v>134.80000000000001</v>
    </nc>
  </rcc>
  <rcc rId="4385" sId="1" numFmtId="4">
    <oc r="G432">
      <v>139.5</v>
    </oc>
    <nc r="G432">
      <v>140.1</v>
    </nc>
  </rcc>
  <rcc rId="4386" sId="1">
    <oc r="F315">
      <f>34989.6+1082.2</f>
    </oc>
    <nc r="F315">
      <f>1082.2</f>
    </nc>
  </rcc>
  <rcc rId="4387" sId="1">
    <oc r="G315">
      <f>34989.6+1082.2</f>
    </oc>
    <nc r="G315">
      <f>1082.2</f>
    </nc>
  </rcc>
  <rcc rId="4388" sId="1">
    <oc r="F316">
      <f>10566.8+326.8</f>
    </oc>
    <nc r="F316">
      <f>326.8</f>
    </nc>
  </rcc>
  <rcc rId="4389" sId="1">
    <oc r="G316">
      <f>10566.8+326.8</f>
    </oc>
    <nc r="G316">
      <f>326.8</f>
    </nc>
  </rcc>
  <rcc rId="4390" sId="1">
    <oc r="F264">
      <f>5812.2+179.8</f>
    </oc>
    <nc r="F264">
      <f>179.8</f>
    </nc>
  </rcc>
  <rcc rId="4391" sId="1">
    <oc r="G264">
      <f>5812.2+179.8</f>
    </oc>
    <nc r="G264">
      <f>179.8</f>
    </nc>
  </rcc>
  <rcc rId="4392" sId="1">
    <oc r="F265">
      <f>10669.6+340.5</f>
    </oc>
    <nc r="F265">
      <f>340.5</f>
    </nc>
  </rcc>
  <rcc rId="4393" sId="1">
    <oc r="G265">
      <f>10669.6+340.5</f>
    </oc>
    <nc r="G265">
      <f>340.5</f>
    </nc>
  </rcc>
  <rcc rId="4394" sId="1">
    <oc r="F245">
      <f>8319+437.8</f>
    </oc>
    <nc r="F245">
      <f>8320+437.8</f>
    </nc>
  </rcc>
  <rcc rId="4395" sId="1">
    <oc r="G245">
      <f>8319+437.8</f>
    </oc>
    <nc r="G245">
      <f>8320+437.8</f>
    </nc>
  </rcc>
  <rcc rId="4396" sId="1" numFmtId="4">
    <oc r="F239">
      <v>5297.5</v>
    </oc>
    <nc r="F239">
      <v>4462.3</v>
    </nc>
  </rcc>
  <rcc rId="4397" sId="1" numFmtId="4">
    <oc r="G239">
      <v>317.8</v>
    </oc>
    <nc r="G239">
      <v>4543</v>
    </nc>
  </rcc>
  <rrc rId="4398" sId="1" ref="A230:XFD231" action="insertRow"/>
  <rfmt sheetId="1" sqref="A230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230" start="0" length="0">
    <dxf>
      <font>
        <i/>
        <name val="Times New Roman"/>
        <family val="1"/>
      </font>
    </dxf>
  </rfmt>
  <rfmt sheetId="1" sqref="C230" start="0" length="0">
    <dxf>
      <font>
        <i/>
        <name val="Times New Roman"/>
        <family val="1"/>
      </font>
    </dxf>
  </rfmt>
  <rfmt sheetId="1" sqref="D230" start="0" length="0">
    <dxf>
      <font>
        <i/>
        <name val="Times New Roman"/>
        <family val="1"/>
      </font>
    </dxf>
  </rfmt>
  <rfmt sheetId="1" sqref="E230" start="0" length="0">
    <dxf>
      <font>
        <i/>
        <name val="Times New Roman"/>
        <family val="1"/>
      </font>
    </dxf>
  </rfmt>
  <rfmt sheetId="1" sqref="F230" start="0" length="0">
    <dxf>
      <font>
        <i/>
        <name val="Times New Roman"/>
        <family val="1"/>
      </font>
    </dxf>
  </rfmt>
  <rfmt sheetId="1" sqref="G230" start="0" length="0">
    <dxf>
      <font>
        <i/>
        <name val="Times New Roman"/>
        <family val="1"/>
      </font>
    </dxf>
  </rfmt>
  <rfmt sheetId="1" sqref="A231" start="0" length="0">
    <dxf>
      <font>
        <color indexed="8"/>
        <name val="Times New Roman"/>
        <family val="1"/>
      </font>
      <fill>
        <patternFill patternType="solid"/>
      </fill>
    </dxf>
  </rfmt>
  <rcc rId="4399" sId="1" odxf="1" dxf="1">
    <nc r="A230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400" sId="1">
    <nc r="A231" t="inlineStr">
      <is>
        <t>Субсидии бюджетным учреждениям на иные цели</t>
      </is>
    </nc>
  </rcc>
  <rcc rId="4401" sId="1">
    <nc r="B230" t="inlineStr">
      <is>
        <t>07</t>
      </is>
    </nc>
  </rcc>
  <rcc rId="4402" sId="1">
    <nc r="C230" t="inlineStr">
      <is>
        <t>02</t>
      </is>
    </nc>
  </rcc>
  <rcc rId="4403" sId="1">
    <nc r="D230" t="inlineStr">
      <is>
        <t>10201 L0500</t>
      </is>
    </nc>
  </rcc>
  <rcc rId="4404" sId="1" odxf="1" dxf="1">
    <nc r="F230">
      <f>F231</f>
    </nc>
    <ndxf>
      <fill>
        <patternFill>
          <bgColor rgb="FF92D050"/>
        </patternFill>
      </fill>
    </ndxf>
  </rcc>
  <rcc rId="4405" sId="1" odxf="1" dxf="1">
    <nc r="G230">
      <f>G231</f>
    </nc>
    <ndxf>
      <fill>
        <patternFill>
          <bgColor rgb="FF92D050"/>
        </patternFill>
      </fill>
    </ndxf>
  </rcc>
  <rcc rId="4406" sId="1">
    <nc r="B231" t="inlineStr">
      <is>
        <t>07</t>
      </is>
    </nc>
  </rcc>
  <rcc rId="4407" sId="1">
    <nc r="C231" t="inlineStr">
      <is>
        <t>02</t>
      </is>
    </nc>
  </rcc>
  <rcc rId="4408" sId="1">
    <nc r="D231" t="inlineStr">
      <is>
        <t>10201 L0500</t>
      </is>
    </nc>
  </rcc>
  <rcc rId="4409" sId="1">
    <nc r="E231" t="inlineStr">
      <is>
        <t>612</t>
      </is>
    </nc>
  </rcc>
  <rcc rId="4410" sId="1" odxf="1" dxf="1" numFmtId="4">
    <nc r="F231">
      <v>1750.5</v>
    </nc>
    <ndxf>
      <fill>
        <patternFill patternType="none">
          <bgColor indexed="65"/>
        </patternFill>
      </fill>
    </ndxf>
  </rcc>
  <rcc rId="4411" sId="1" odxf="1" dxf="1" numFmtId="4">
    <nc r="G231">
      <v>1750.5</v>
    </nc>
    <ndxf>
      <fill>
        <patternFill patternType="none">
          <bgColor indexed="65"/>
        </patternFill>
      </fill>
    </ndxf>
  </rcc>
  <rfmt sheetId="1" sqref="F230:G230">
    <dxf>
      <fill>
        <patternFill>
          <bgColor theme="0"/>
        </patternFill>
      </fill>
    </dxf>
  </rfmt>
  <rcc rId="4412" sId="1">
    <oc r="F221">
      <f>F224+F226+F228+F236+F232+F222+F240+F234+F238</f>
    </oc>
    <nc r="F221">
      <f>F224+F226+F228+F236+F232+F222+F240+F234+F238+F230</f>
    </nc>
  </rcc>
  <rcc rId="4413" sId="1">
    <oc r="G221">
      <f>G224+G226+G228+G236+G232+G222+G240+G234+G238</f>
    </oc>
    <nc r="G221">
      <f>G224+G226+G228+G236+G232+G222+G240+G234+G238+G230</f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4" sId="1" numFmtId="4">
    <oc r="F223">
      <v>31351.9</v>
    </oc>
    <nc r="F223">
      <v>62703.7</v>
    </nc>
  </rcc>
  <rcc rId="4415" sId="1" numFmtId="4">
    <oc r="G223">
      <v>0</v>
    </oc>
    <nc r="G223">
      <v>62703.7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6" sId="1">
    <oc r="F217">
      <f>123000.9+3925.6</f>
    </oc>
    <nc r="F217">
      <f>3925.6-128.1</f>
    </nc>
  </rcc>
  <rcc rId="4417" sId="1">
    <oc r="G217">
      <f>123000.9+3925.6</f>
    </oc>
    <nc r="G217">
      <f>3925.6-128.1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18" sId="1" ref="A372:XFD375" action="insertRow"/>
  <rfmt sheetId="1" sqref="A372" start="0" length="0">
    <dxf>
      <fill>
        <patternFill patternType="none">
          <bgColor indexed="65"/>
        </patternFill>
      </fill>
    </dxf>
  </rfmt>
  <rfmt sheetId="1" sqref="B372" start="0" length="0">
    <dxf>
      <fill>
        <patternFill patternType="none">
          <bgColor indexed="65"/>
        </patternFill>
      </fill>
    </dxf>
  </rfmt>
  <rfmt sheetId="1" sqref="C372" start="0" length="0">
    <dxf>
      <fill>
        <patternFill patternType="none">
          <bgColor indexed="65"/>
        </patternFill>
      </fill>
    </dxf>
  </rfmt>
  <rfmt sheetId="1" sqref="D372" start="0" length="0">
    <dxf>
      <fill>
        <patternFill patternType="none">
          <bgColor indexed="65"/>
        </patternFill>
      </fill>
    </dxf>
  </rfmt>
  <rfmt sheetId="1" sqref="E372" start="0" length="0">
    <dxf>
      <fill>
        <patternFill patternType="none">
          <bgColor indexed="65"/>
        </patternFill>
      </fill>
    </dxf>
  </rfmt>
  <rfmt sheetId="1" sqref="F372" start="0" length="0">
    <dxf>
      <fill>
        <patternFill patternType="none">
          <bgColor indexed="65"/>
        </patternFill>
      </fill>
      <alignment wrapText="1"/>
    </dxf>
  </rfmt>
  <rfmt sheetId="1" sqref="G372" start="0" length="0">
    <dxf>
      <fill>
        <patternFill patternType="none">
          <bgColor indexed="65"/>
        </patternFill>
      </fill>
      <alignment wrapText="1"/>
    </dxf>
  </rfmt>
  <rfmt sheetId="1" sqref="H372" start="0" length="0">
    <dxf>
      <font>
        <i val="0"/>
        <name val="Times New Roman CYR"/>
        <family val="1"/>
      </font>
    </dxf>
  </rfmt>
  <rfmt sheetId="1" sqref="I372" start="0" length="0">
    <dxf>
      <font>
        <i val="0"/>
        <name val="Times New Roman CYR"/>
        <family val="1"/>
      </font>
    </dxf>
  </rfmt>
  <rfmt sheetId="1" sqref="A372:XFD372" start="0" length="0">
    <dxf>
      <font>
        <i val="0"/>
        <name val="Times New Roman CYR"/>
        <family val="1"/>
      </font>
    </dxf>
  </rfmt>
  <rfmt sheetId="1" sqref="A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3" start="0" length="0">
    <dxf>
      <font>
        <i val="0"/>
        <name val="Times New Roman CYR"/>
        <family val="1"/>
      </font>
    </dxf>
  </rfmt>
  <rfmt sheetId="1" sqref="I373" start="0" length="0">
    <dxf>
      <font>
        <i val="0"/>
        <name val="Times New Roman CYR"/>
        <family val="1"/>
      </font>
    </dxf>
  </rfmt>
  <rfmt sheetId="1" sqref="A373:XFD373" start="0" length="0">
    <dxf>
      <font>
        <i val="0"/>
        <name val="Times New Roman CYR"/>
        <family val="1"/>
      </font>
    </dxf>
  </rfmt>
  <rfmt sheetId="1" sqref="A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bottom" wrapText="0"/>
    </dxf>
  </rfmt>
  <rfmt sheetId="1" sqref="B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4" start="0" length="0">
    <dxf>
      <font>
        <i val="0"/>
        <name val="Times New Roman CYR"/>
        <family val="1"/>
      </font>
    </dxf>
  </rfmt>
  <rfmt sheetId="1" sqref="I374" start="0" length="0">
    <dxf>
      <font>
        <i val="0"/>
        <name val="Times New Roman CYR"/>
        <family val="1"/>
      </font>
    </dxf>
  </rfmt>
  <rfmt sheetId="1" sqref="A374:XFD374" start="0" length="0">
    <dxf>
      <font>
        <i val="0"/>
        <name val="Times New Roman CYR"/>
        <family val="1"/>
      </font>
    </dxf>
  </rfmt>
  <rfmt sheetId="1" sqref="A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5" start="0" length="0">
    <dxf>
      <font>
        <i val="0"/>
        <name val="Times New Roman CYR"/>
        <family val="1"/>
      </font>
    </dxf>
  </rfmt>
  <rfmt sheetId="1" sqref="I375" start="0" length="0">
    <dxf>
      <font>
        <i val="0"/>
        <name val="Times New Roman CYR"/>
        <family val="1"/>
      </font>
    </dxf>
  </rfmt>
  <rfmt sheetId="1" sqref="A375:XFD375" start="0" length="0">
    <dxf>
      <font>
        <i val="0"/>
        <name val="Times New Roman CYR"/>
        <family val="1"/>
      </font>
    </dxf>
  </rfmt>
  <rcc rId="4419" sId="1" odxf="1" dxf="1">
    <nc r="A372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</ndxf>
  </rcc>
  <rcc rId="4420" sId="1" odxf="1" dxf="1">
    <nc r="A373" t="inlineStr">
      <is>
        <t>Реализация мероприятий по строительству жилья, предоставляемого по договору найма жилого помещения</t>
      </is>
    </nc>
    <ndxf>
      <fill>
        <patternFill patternType="solid">
          <bgColor theme="0"/>
        </patternFill>
      </fill>
      <alignment horizontal="general"/>
    </ndxf>
  </rcc>
  <rcc rId="4421" sId="1" odxf="1" dxf="1">
    <nc r="A374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  <alignment vertical="center" wrapText="1"/>
    </ndxf>
  </rcc>
  <rcc rId="4422" sId="1" odxf="1" dxf="1">
    <nc r="A375" t="inlineStr">
      <is>
        <t>Субсидии автономным учреждениям на иные цели</t>
      </is>
    </nc>
    <ndxf>
      <alignment horizontal="left" vertical="center"/>
    </ndxf>
  </rcc>
  <rcc rId="4423" sId="1" odxf="1" dxf="1">
    <nc r="B372" t="inlineStr">
      <is>
        <t>10</t>
      </is>
    </nc>
    <ndxf>
      <fill>
        <patternFill patternType="solid">
          <bgColor theme="0"/>
        </patternFill>
      </fill>
    </ndxf>
  </rcc>
  <rcc rId="4424" sId="1" odxf="1" dxf="1">
    <nc r="C372" t="inlineStr">
      <is>
        <t>03</t>
      </is>
    </nc>
    <ndxf>
      <fill>
        <patternFill patternType="solid">
          <bgColor theme="0"/>
        </patternFill>
      </fill>
    </ndxf>
  </rcc>
  <rcc rId="4425" sId="1" odxf="1" dxf="1">
    <nc r="D372" t="inlineStr">
      <is>
        <t>06000 00000</t>
      </is>
    </nc>
    <ndxf>
      <fill>
        <patternFill patternType="solid">
          <bgColor theme="0"/>
        </patternFill>
      </fill>
    </ndxf>
  </rcc>
  <rfmt sheetId="1" sqref="E372" start="0" length="0">
    <dxf>
      <fill>
        <patternFill patternType="solid">
          <bgColor theme="0"/>
        </patternFill>
      </fill>
    </dxf>
  </rfmt>
  <rcc rId="4426" sId="1" odxf="1" dxf="1">
    <nc r="F372">
      <f>F373</f>
    </nc>
    <ndxf>
      <fill>
        <patternFill patternType="solid">
          <bgColor theme="0"/>
        </patternFill>
      </fill>
    </ndxf>
  </rcc>
  <rcc rId="4427" sId="1" odxf="1" dxf="1">
    <nc r="G372">
      <f>G373</f>
    </nc>
    <ndxf>
      <fill>
        <patternFill patternType="solid">
          <bgColor theme="0"/>
        </patternFill>
      </fill>
    </ndxf>
  </rcc>
  <rcc rId="4428" sId="1" odxf="1" dxf="1">
    <nc r="B373" t="inlineStr">
      <is>
        <t>10</t>
      </is>
    </nc>
    <ndxf>
      <fill>
        <patternFill patternType="solid">
          <bgColor theme="0"/>
        </patternFill>
      </fill>
    </ndxf>
  </rcc>
  <rcc rId="4429" sId="1" odxf="1" dxf="1">
    <nc r="C373" t="inlineStr">
      <is>
        <t>03</t>
      </is>
    </nc>
    <ndxf>
      <fill>
        <patternFill patternType="solid">
          <bgColor theme="0"/>
        </patternFill>
      </fill>
    </ndxf>
  </rcc>
  <rcc rId="4430" sId="1" odxf="1" dxf="1">
    <nc r="D373" t="inlineStr">
      <is>
        <t>06040 00000</t>
      </is>
    </nc>
    <ndxf>
      <fill>
        <patternFill patternType="solid">
          <bgColor theme="0"/>
        </patternFill>
      </fill>
    </ndxf>
  </rcc>
  <rfmt sheetId="1" sqref="E373" start="0" length="0">
    <dxf>
      <fill>
        <patternFill patternType="solid">
          <bgColor theme="0"/>
        </patternFill>
      </fill>
    </dxf>
  </rfmt>
  <rcc rId="4431" sId="1" odxf="1" dxf="1">
    <nc r="F373">
      <f>F374</f>
    </nc>
    <ndxf>
      <fill>
        <patternFill patternType="solid">
          <bgColor theme="0"/>
        </patternFill>
      </fill>
    </ndxf>
  </rcc>
  <rcc rId="4432" sId="1" odxf="1" dxf="1">
    <nc r="G373">
      <f>G374</f>
    </nc>
    <ndxf>
      <fill>
        <patternFill patternType="solid">
          <bgColor theme="0"/>
        </patternFill>
      </fill>
    </ndxf>
  </rcc>
  <rcc rId="4433" sId="1" odxf="1" dxf="1">
    <nc r="B374" t="inlineStr">
      <is>
        <t>10</t>
      </is>
    </nc>
    <ndxf>
      <fill>
        <patternFill patternType="solid">
          <bgColor theme="0"/>
        </patternFill>
      </fill>
    </ndxf>
  </rcc>
  <rcc rId="4434" sId="1" odxf="1" dxf="1">
    <nc r="C374" t="inlineStr">
      <is>
        <t>03</t>
      </is>
    </nc>
    <ndxf>
      <fill>
        <patternFill patternType="solid">
          <bgColor theme="0"/>
        </patternFill>
      </fill>
    </ndxf>
  </rcc>
  <rcc rId="4435" sId="1" odxf="1" dxf="1">
    <nc r="D374" t="inlineStr">
      <is>
        <t>06040 L5760</t>
      </is>
    </nc>
    <ndxf>
      <fill>
        <patternFill patternType="solid">
          <bgColor theme="0"/>
        </patternFill>
      </fill>
    </ndxf>
  </rcc>
  <rfmt sheetId="1" sqref="E3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4436" sId="1" odxf="1" dxf="1">
    <nc r="F374">
      <f>F375</f>
    </nc>
    <ndxf>
      <fill>
        <patternFill patternType="solid">
          <bgColor rgb="FF92D050"/>
        </patternFill>
      </fill>
    </ndxf>
  </rcc>
  <rcc rId="4437" sId="1" odxf="1" dxf="1">
    <nc r="G374">
      <f>G375</f>
    </nc>
    <ndxf>
      <fill>
        <patternFill patternType="solid">
          <bgColor rgb="FF92D050"/>
        </patternFill>
      </fill>
    </ndxf>
  </rcc>
  <rcc rId="4438" sId="1" odxf="1" dxf="1">
    <nc r="B375" t="inlineStr">
      <is>
        <t>10</t>
      </is>
    </nc>
    <ndxf>
      <fill>
        <patternFill patternType="solid">
          <bgColor theme="0"/>
        </patternFill>
      </fill>
    </ndxf>
  </rcc>
  <rcc rId="4439" sId="1" odxf="1" dxf="1">
    <nc r="C375" t="inlineStr">
      <is>
        <t>03</t>
      </is>
    </nc>
    <ndxf>
      <fill>
        <patternFill patternType="solid">
          <bgColor theme="0"/>
        </patternFill>
      </fill>
    </ndxf>
  </rcc>
  <rcc rId="4440" sId="1" odxf="1" dxf="1">
    <nc r="D375" t="inlineStr">
      <is>
        <t>06040 L5760</t>
      </is>
    </nc>
    <ndxf>
      <fill>
        <patternFill patternType="solid">
          <bgColor theme="0"/>
        </patternFill>
      </fill>
    </ndxf>
  </rcc>
  <rcc rId="4441" sId="1" odxf="1" dxf="1">
    <nc r="E375" t="inlineStr">
      <is>
        <t>622</t>
      </is>
    </nc>
    <ndxf>
      <fill>
        <patternFill patternType="solid">
          <bgColor theme="0"/>
        </patternFill>
      </fill>
    </ndxf>
  </rcc>
  <rcc rId="4442" sId="1" odxf="1" dxf="1" numFmtId="4">
    <nc r="F375">
      <v>770</v>
    </nc>
    <ndxf>
      <fill>
        <patternFill patternType="solid">
          <bgColor theme="0"/>
        </patternFill>
      </fill>
    </ndxf>
  </rcc>
  <rcc rId="4443" sId="1" odxf="1" dxf="1" numFmtId="4">
    <nc r="G375">
      <v>0</v>
    </nc>
    <ndxf>
      <fill>
        <patternFill patternType="solid">
          <bgColor theme="0"/>
        </patternFill>
      </fill>
    </ndxf>
  </rcc>
  <rfmt sheetId="1" sqref="F374:G374">
    <dxf>
      <fill>
        <patternFill>
          <bgColor theme="0"/>
        </patternFill>
      </fill>
    </dxf>
  </rfmt>
  <rcc rId="4444" sId="1">
    <oc r="F371">
      <f>F376</f>
    </oc>
    <nc r="F371">
      <f>F376+F372</f>
    </nc>
  </rcc>
  <rcc rId="4445" sId="1">
    <oc r="G371">
      <f>G376</f>
    </oc>
    <nc r="G371">
      <f>G376+G372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6" sId="1">
    <oc r="F166">
      <f>100000+3092.78</f>
    </oc>
    <nc r="F166">
      <f>100000+3092.78-9090.9</f>
    </nc>
  </rcc>
  <rcc rId="4447" sId="1">
    <oc r="G166">
      <f>100000+3092.78</f>
    </oc>
    <nc r="G166">
      <f>100000+3092.78+909.1</f>
    </nc>
  </rcc>
  <rcc rId="4448" sId="1" numFmtId="4">
    <oc r="F41">
      <v>381.8</v>
    </oc>
    <nc r="F41">
      <v>359.1</v>
    </nc>
  </rcc>
  <rcc rId="4449" sId="1" numFmtId="4">
    <oc r="G41">
      <v>0</v>
    </oc>
    <nc r="G41">
      <v>45.9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98:G198">
    <dxf>
      <fill>
        <patternFill>
          <bgColor theme="0"/>
        </patternFill>
      </fill>
    </dxf>
  </rfmt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0" sId="1" numFmtId="34">
    <oc r="F439">
      <v>10342.965</v>
    </oc>
    <nc r="F439">
      <v>10052.284</v>
    </nc>
  </rcc>
  <rcc rId="4451" sId="1" numFmtId="34">
    <oc r="G439">
      <v>21040.994999999999</v>
    </oc>
    <nc r="G439">
      <v>20269.657999999999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2" sId="1">
    <oc r="F233">
      <f>27585.6+278.6</f>
    </oc>
    <nc r="F233">
      <f>27585.6+278.6-1524.4</f>
    </nc>
  </rcc>
  <rcc rId="4453" sId="1" numFmtId="4">
    <oc r="G233">
      <v>0</v>
    </oc>
    <nc r="G233">
      <v>25197.3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4" sId="1">
    <oc r="F317">
      <f>1082.2</f>
    </oc>
    <nc r="F317"/>
  </rcc>
  <rcc rId="4455" sId="1">
    <oc r="G317">
      <f>1082.2</f>
    </oc>
    <nc r="G317"/>
  </rcc>
  <rcc rId="4456" sId="1">
    <oc r="F318">
      <f>326.8</f>
    </oc>
    <nc r="F318"/>
  </rcc>
  <rcc rId="4457" sId="1">
    <oc r="G318">
      <f>326.8</f>
    </oc>
    <nc r="G318"/>
  </rcc>
  <rrc rId="4458" sId="1" ref="A316:XFD316" action="deleteRow">
    <undo index="65535" exp="ref" v="1" dr="G316" r="G302" sId="1"/>
    <undo index="65535" exp="ref" v="1" dr="F316" r="F302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59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60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61" sId="1">
    <oc r="F302">
      <f>F305+F308+F303+#REF!</f>
    </oc>
    <nc r="F302">
      <f>F305+F308+F303</f>
    </nc>
  </rcc>
  <rcc rId="4462" sId="1">
    <oc r="G301">
      <f>G302</f>
    </oc>
    <nc r="G301">
      <f>G302</f>
    </nc>
  </rcc>
  <rcc rId="4463" sId="1">
    <oc r="G302">
      <f>G305+G308+G303+#REF!</f>
    </oc>
    <nc r="G302">
      <f>G305+G308+G303</f>
    </nc>
  </rcc>
  <rcc rId="4464" sId="1" numFmtId="4">
    <oc r="F309">
      <v>1969.3</v>
    </oc>
    <nc r="F309">
      <f>1969.3+1082.2</f>
    </nc>
  </rcc>
  <rcc rId="4465" sId="1" numFmtId="4">
    <oc r="G309">
      <v>1969.3</v>
    </oc>
    <nc r="G309">
      <f>1969.3+1082.2</f>
    </nc>
  </rcc>
  <rcc rId="4466" sId="1" numFmtId="4">
    <oc r="F310">
      <v>594.70000000000005</v>
    </oc>
    <nc r="F310">
      <f>594.7+326.8</f>
    </nc>
  </rcc>
  <rcc rId="4467" sId="1" numFmtId="4">
    <oc r="G310">
      <v>594.70000000000005</v>
    </oc>
    <nc r="G310">
      <f>594.7+326.8</f>
    </nc>
  </rcc>
  <rcc rId="4468" sId="1">
    <oc r="F266">
      <f>179.8</f>
    </oc>
    <nc r="F266"/>
  </rcc>
  <rcc rId="4469" sId="1">
    <oc r="G266">
      <f>179.8</f>
    </oc>
    <nc r="G266"/>
  </rcc>
  <rcc rId="4470" sId="1">
    <oc r="F267">
      <f>340.5</f>
    </oc>
    <nc r="F267"/>
  </rcc>
  <rcc rId="4471" sId="1">
    <oc r="G267">
      <f>340.5</f>
    </oc>
    <nc r="G267"/>
  </rcc>
  <rrc rId="4472" sId="1" ref="A265:XFD265" action="deleteRow">
    <undo index="65535" exp="ref" v="1" dr="G265" r="G258" sId="1"/>
    <undo index="65535" exp="ref" v="1" dr="F265" r="F258" sId="1"/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5">
        <f>F266+F267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5">
        <f>G266+G267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73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74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75" sId="1">
    <oc r="F258">
      <f>F259+F262+#REF!</f>
    </oc>
    <nc r="F258">
      <f>F259+F262</f>
    </nc>
  </rcc>
  <rcc rId="4476" sId="1">
    <oc r="G258">
      <f>G259+G262+#REF!</f>
    </oc>
    <nc r="G258">
      <f>G259+G262</f>
    </nc>
  </rcc>
  <rcc rId="4477" sId="1">
    <oc r="F260">
      <f>8525.8</f>
    </oc>
    <nc r="F260">
      <f>8525.8+179.8</f>
    </nc>
  </rcc>
  <rcc rId="4478" sId="1">
    <oc r="G260">
      <f>8525.8</f>
    </oc>
    <nc r="G260">
      <f>8525.8+179.8</f>
    </nc>
  </rcc>
  <rcc rId="4479" sId="1">
    <oc r="F261">
      <f>15665</f>
    </oc>
    <nc r="F261">
      <f>15665+340.5</f>
    </nc>
  </rcc>
  <rcc rId="4480" sId="1">
    <oc r="G261">
      <f>15665</f>
    </oc>
    <nc r="G261">
      <f>15665+340.5</f>
    </nc>
  </rcc>
  <rcc rId="4481" sId="1">
    <oc r="F215">
      <f>16093.8</f>
    </oc>
    <nc r="F215">
      <f>16093.8+3797.5</f>
    </nc>
  </rcc>
  <rcc rId="4482" sId="1">
    <oc r="G215">
      <f>16093.8</f>
    </oc>
    <nc r="G215">
      <f>16093.8+3797.5</f>
    </nc>
  </rcc>
  <rcc rId="4483" sId="1">
    <oc r="F217">
      <f>3925.6-128.1</f>
    </oc>
    <nc r="F217"/>
  </rcc>
  <rcc rId="4484" sId="1">
    <oc r="G217">
      <f>3925.6-128.1</f>
    </oc>
    <nc r="G217"/>
  </rcc>
  <rrc rId="4485" sId="1" ref="A216:XFD216" action="deleteRow">
    <undo index="65535" exp="ref" v="1" dr="G216" r="G207" sId="1"/>
    <undo index="65535" exp="ref" v="1" dr="F216" r="F207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86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87" sId="1">
    <oc r="F207">
      <f>F208+F214+F210+F212+#REF!</f>
    </oc>
    <nc r="F207">
      <f>F208+F214+F210+F212</f>
    </nc>
  </rcc>
  <rcc rId="4488" sId="1">
    <oc r="G207">
      <f>G208+G214+G210+G212+#REF!</f>
    </oc>
    <nc r="G207">
      <f>G208+G214+G210+G212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9" sId="1" numFmtId="4">
    <oc r="F115">
      <v>6876.8</v>
    </oc>
    <nc r="F115">
      <f>6876.8-111.2</f>
    </nc>
  </rcc>
  <rcc rId="4490" sId="1" numFmtId="4">
    <oc r="G115">
      <v>6876.8</v>
    </oc>
    <nc r="G115">
      <f>6876.8-12.4</f>
    </nc>
  </rcc>
  <rcc rId="4491" sId="1" numFmtId="4">
    <oc r="F116">
      <v>2076.8000000000002</v>
    </oc>
    <nc r="F116">
      <f>2076.8-33.5889</f>
    </nc>
  </rcc>
  <rcc rId="4492" sId="1" numFmtId="4">
    <oc r="G116">
      <v>2076.8000000000002</v>
    </oc>
    <nc r="G116">
      <f>2076.8-3.7839</f>
    </nc>
  </rcc>
  <rcc rId="4493" sId="1" odxf="1" dxf="1" numFmtId="4">
    <oc r="F198">
      <v>16866.5</v>
    </oc>
    <nc r="F198">
      <f>16866.5+16.8665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94" sId="1" odxf="1" dxf="1" numFmtId="4">
    <oc r="G198">
      <v>16183.9</v>
    </oc>
    <nc r="G198">
      <f>16183.9+16.1839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198:G198">
    <dxf>
      <fill>
        <patternFill>
          <bgColor theme="0"/>
        </patternFill>
      </fill>
    </dxf>
  </rfmt>
  <rrc rId="4495" sId="1" ref="A365:XFD367" action="insertRow"/>
  <rfmt sheetId="1" sqref="A365" start="0" length="0">
    <dxf>
      <font>
        <b val="0"/>
        <i/>
        <name val="Times New Roman"/>
        <family val="1"/>
      </font>
    </dxf>
  </rfmt>
  <rfmt sheetId="1" sqref="B365" start="0" length="0">
    <dxf>
      <font>
        <b val="0"/>
        <i/>
        <name val="Times New Roman"/>
        <family val="1"/>
      </font>
    </dxf>
  </rfmt>
  <rfmt sheetId="1" sqref="C365" start="0" length="0">
    <dxf>
      <font>
        <b val="0"/>
        <i/>
        <name val="Times New Roman"/>
        <family val="1"/>
      </font>
    </dxf>
  </rfmt>
  <rfmt sheetId="1" sqref="D365" start="0" length="0">
    <dxf>
      <font>
        <b val="0"/>
        <i/>
        <name val="Times New Roman"/>
        <family val="1"/>
      </font>
    </dxf>
  </rfmt>
  <rfmt sheetId="1" sqref="E365" start="0" length="0">
    <dxf>
      <font>
        <b val="0"/>
        <i/>
        <name val="Times New Roman"/>
        <family val="1"/>
      </font>
    </dxf>
  </rfmt>
  <rfmt sheetId="1" sqref="F365" start="0" length="0">
    <dxf>
      <font>
        <b val="0"/>
        <i/>
        <name val="Times New Roman"/>
        <family val="1"/>
      </font>
    </dxf>
  </rfmt>
  <rfmt sheetId="1" sqref="G365" start="0" length="0">
    <dxf>
      <font>
        <b val="0"/>
        <i/>
        <name val="Times New Roman"/>
        <family val="1"/>
      </font>
    </dxf>
  </rfmt>
  <rfmt sheetId="1" sqref="A366" start="0" length="0">
    <dxf>
      <font>
        <b val="0"/>
        <i/>
        <name val="Times New Roman"/>
        <family val="1"/>
      </font>
    </dxf>
  </rfmt>
  <rfmt sheetId="1" sqref="B366" start="0" length="0">
    <dxf>
      <font>
        <b val="0"/>
        <i/>
        <name val="Times New Roman"/>
        <family val="1"/>
      </font>
    </dxf>
  </rfmt>
  <rfmt sheetId="1" sqref="C366" start="0" length="0">
    <dxf>
      <font>
        <b val="0"/>
        <i/>
        <name val="Times New Roman"/>
        <family val="1"/>
      </font>
    </dxf>
  </rfmt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i/>
        <name val="Times New Roman"/>
        <family val="1"/>
      </font>
    </dxf>
  </rfmt>
  <rfmt sheetId="1" sqref="F366" start="0" length="0">
    <dxf>
      <font>
        <b val="0"/>
        <i/>
        <name val="Times New Roman"/>
        <family val="1"/>
      </font>
    </dxf>
  </rfmt>
  <rfmt sheetId="1" sqref="G366" start="0" length="0">
    <dxf>
      <font>
        <b val="0"/>
        <i/>
        <name val="Times New Roman"/>
        <family val="1"/>
      </font>
    </dxf>
  </rfmt>
  <rfmt sheetId="1" sqref="A36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67" start="0" length="0">
    <dxf>
      <font>
        <b val="0"/>
        <name val="Times New Roman"/>
        <family val="1"/>
      </font>
    </dxf>
  </rfmt>
  <rfmt sheetId="1" sqref="C367" start="0" length="0">
    <dxf>
      <font>
        <b val="0"/>
        <name val="Times New Roman"/>
        <family val="1"/>
      </font>
    </dxf>
  </rfmt>
  <rfmt sheetId="1" sqref="D367" start="0" length="0">
    <dxf>
      <font>
        <b val="0"/>
        <name val="Times New Roman"/>
        <family val="1"/>
      </font>
    </dxf>
  </rfmt>
  <rfmt sheetId="1" sqref="E367" start="0" length="0">
    <dxf>
      <font>
        <b val="0"/>
        <name val="Times New Roman"/>
        <family val="1"/>
      </font>
    </dxf>
  </rfmt>
  <rfmt sheetId="1" sqref="F367" start="0" length="0">
    <dxf>
      <font>
        <b val="0"/>
        <name val="Times New Roman"/>
        <family val="1"/>
      </font>
    </dxf>
  </rfmt>
  <rfmt sheetId="1" sqref="G367" start="0" length="0">
    <dxf>
      <font>
        <b val="0"/>
        <name val="Times New Roman"/>
        <family val="1"/>
      </font>
    </dxf>
  </rfmt>
  <rcc rId="4496" sId="1">
    <nc r="A36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c rId="4497" sId="1">
    <nc r="A366" t="inlineStr">
      <is>
        <t>Обеспечение комплексного развития сельских территорий</t>
      </is>
    </nc>
  </rcc>
  <rcc rId="4498" sId="1" odxf="1" dxf="1">
    <nc r="A367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4499" sId="1">
    <nc r="B365" t="inlineStr">
      <is>
        <t>10</t>
      </is>
    </nc>
  </rcc>
  <rcc rId="4500" sId="1">
    <nc r="C365" t="inlineStr">
      <is>
        <t>03</t>
      </is>
    </nc>
  </rcc>
  <rcc rId="4501" sId="1">
    <nc r="D365" t="inlineStr">
      <is>
        <t>06020 00000</t>
      </is>
    </nc>
  </rcc>
  <rcc rId="4502" sId="1">
    <nc r="F365">
      <f>F366</f>
    </nc>
  </rcc>
  <rcc rId="4503" sId="1">
    <nc r="G365">
      <f>G366</f>
    </nc>
  </rcc>
  <rcc rId="4504" sId="1">
    <nc r="B366" t="inlineStr">
      <is>
        <t>10</t>
      </is>
    </nc>
  </rcc>
  <rcc rId="4505" sId="1">
    <nc r="C366" t="inlineStr">
      <is>
        <t>03</t>
      </is>
    </nc>
  </rcc>
  <rcc rId="4506" sId="1">
    <nc r="D366" t="inlineStr">
      <is>
        <t>06020 L5760</t>
      </is>
    </nc>
  </rcc>
  <rcc rId="4507" sId="1">
    <nc r="F366">
      <f>F367</f>
    </nc>
  </rcc>
  <rcc rId="4508" sId="1">
    <nc r="G366">
      <f>G367</f>
    </nc>
  </rcc>
  <rcc rId="4509" sId="1">
    <nc r="B367" t="inlineStr">
      <is>
        <t>10</t>
      </is>
    </nc>
  </rcc>
  <rcc rId="4510" sId="1">
    <nc r="C367" t="inlineStr">
      <is>
        <t>03</t>
      </is>
    </nc>
  </rcc>
  <rcc rId="4511" sId="1">
    <nc r="D367" t="inlineStr">
      <is>
        <t>06020 L5760</t>
      </is>
    </nc>
  </rcc>
  <rcc rId="4512" sId="1">
    <nc r="E367" t="inlineStr">
      <is>
        <t>244</t>
      </is>
    </nc>
  </rcc>
  <rcc rId="4513" sId="1" numFmtId="4">
    <nc r="F367">
      <f>11369+127.9224</f>
    </nc>
  </rcc>
  <rcc rId="4514" sId="1" numFmtId="4">
    <nc r="G367">
      <v>0</v>
    </nc>
  </rcc>
  <rcc rId="4515" sId="1">
    <oc r="F364">
      <f>F368</f>
    </oc>
    <nc r="F364">
      <f>F368+F365</f>
    </nc>
  </rcc>
  <rcc rId="4516" sId="1">
    <oc r="G364">
      <f>G368</f>
    </oc>
    <nc r="G364">
      <f>G368+G365</f>
    </nc>
  </rcc>
  <rcc rId="4517" sId="1" numFmtId="4">
    <oc r="F370">
      <v>770</v>
    </oc>
    <nc r="F370">
      <f>770+85.55768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8" sId="1" numFmtId="4">
    <oc r="F36">
      <v>14343</v>
    </oc>
    <nc r="F36">
      <f>14343-65.7</f>
    </nc>
  </rcc>
  <rcc rId="4519" sId="1" numFmtId="4">
    <oc r="F37">
      <v>4331.6000000000004</v>
    </oc>
    <nc r="F37">
      <f>4331.6-19.85768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20" sId="1" ref="A375:XFD380" action="insertRow"/>
  <rfmt sheetId="1" sqref="A375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375" start="0" length="0">
    <dxf>
      <font>
        <b val="0"/>
        <i/>
        <name val="Times New Roman CYR"/>
        <family val="1"/>
      </font>
    </dxf>
  </rfmt>
  <rfmt sheetId="1" sqref="I375" start="0" length="0">
    <dxf>
      <font>
        <b val="0"/>
        <i/>
        <name val="Times New Roman CYR"/>
        <family val="1"/>
      </font>
    </dxf>
  </rfmt>
  <rfmt sheetId="1" sqref="A375:XFD375" start="0" length="0">
    <dxf>
      <font>
        <b val="0"/>
        <i/>
        <name val="Times New Roman CYR"/>
        <family val="1"/>
      </font>
    </dxf>
  </rfmt>
  <rfmt sheetId="1" sqref="A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6" start="0" length="0">
    <dxf>
      <font>
        <b val="0"/>
        <name val="Times New Roman CYR"/>
        <family val="1"/>
      </font>
    </dxf>
  </rfmt>
  <rfmt sheetId="1" sqref="I376" start="0" length="0">
    <dxf>
      <font>
        <b val="0"/>
        <name val="Times New Roman CYR"/>
        <family val="1"/>
      </font>
    </dxf>
  </rfmt>
  <rfmt sheetId="1" sqref="A376:XFD376" start="0" length="0">
    <dxf>
      <font>
        <b val="0"/>
        <name val="Times New Roman CYR"/>
        <family val="1"/>
      </font>
    </dxf>
  </rfmt>
  <rfmt sheetId="1" sqref="A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7" start="0" length="0">
    <dxf>
      <font>
        <b val="0"/>
        <name val="Times New Roman CYR"/>
        <family val="1"/>
      </font>
    </dxf>
  </rfmt>
  <rfmt sheetId="1" sqref="I377" start="0" length="0">
    <dxf>
      <font>
        <b val="0"/>
        <name val="Times New Roman CYR"/>
        <family val="1"/>
      </font>
    </dxf>
  </rfmt>
  <rfmt sheetId="1" sqref="A377:XFD377" start="0" length="0">
    <dxf>
      <font>
        <b val="0"/>
        <name val="Times New Roman CYR"/>
        <family val="1"/>
      </font>
    </dxf>
  </rfmt>
  <rfmt sheetId="1" sqref="A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fmt sheetId="1" sqref="F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8" start="0" length="0">
    <dxf>
      <font>
        <b val="0"/>
        <name val="Times New Roman CYR"/>
        <family val="1"/>
      </font>
    </dxf>
  </rfmt>
  <rfmt sheetId="1" sqref="I378" start="0" length="0">
    <dxf>
      <font>
        <b val="0"/>
        <name val="Times New Roman CYR"/>
        <family val="1"/>
      </font>
    </dxf>
  </rfmt>
  <rfmt sheetId="1" sqref="A378:XFD378" start="0" length="0">
    <dxf>
      <font>
        <b val="0"/>
        <name val="Times New Roman CYR"/>
        <family val="1"/>
      </font>
    </dxf>
  </rfmt>
  <rfmt sheetId="1" sqref="A379" start="0" length="0">
    <dxf>
      <alignment horizontal="general" vertical="top"/>
    </dxf>
  </rfmt>
  <rfmt sheetId="1" sqref="B379" start="0" length="0">
    <dxf>
      <fill>
        <patternFill patternType="solid">
          <bgColor theme="0"/>
        </patternFill>
      </fill>
    </dxf>
  </rfmt>
  <rfmt sheetId="1" sqref="C379" start="0" length="0">
    <dxf>
      <fill>
        <patternFill patternType="solid">
          <bgColor theme="0"/>
        </patternFill>
      </fill>
    </dxf>
  </rfmt>
  <rfmt sheetId="1" sqref="D379" start="0" length="0">
    <dxf>
      <fill>
        <patternFill patternType="solid">
          <bgColor theme="0"/>
        </patternFill>
      </fill>
    </dxf>
  </rfmt>
  <rfmt sheetId="1" sqref="E379" start="0" length="0">
    <dxf>
      <fill>
        <patternFill patternType="solid">
          <bgColor theme="0"/>
        </patternFill>
      </fill>
    </dxf>
  </rfmt>
  <rfmt sheetId="1" sqref="F379" start="0" length="0">
    <dxf>
      <fill>
        <patternFill patternType="solid">
          <bgColor theme="0"/>
        </patternFill>
      </fill>
      <alignment wrapText="1"/>
    </dxf>
  </rfmt>
  <rfmt sheetId="1" sqref="G379" start="0" length="0">
    <dxf>
      <fill>
        <patternFill patternType="solid">
          <bgColor theme="0"/>
        </patternFill>
      </fill>
      <alignment wrapText="1"/>
    </dxf>
  </rfmt>
  <rfmt sheetId="1" sqref="H379" start="0" length="0">
    <dxf>
      <font>
        <b val="0"/>
        <name val="Times New Roman CYR"/>
        <family val="1"/>
      </font>
    </dxf>
  </rfmt>
  <rfmt sheetId="1" sqref="I379" start="0" length="0">
    <dxf>
      <font>
        <b val="0"/>
        <name val="Times New Roman CYR"/>
        <family val="1"/>
      </font>
    </dxf>
  </rfmt>
  <rfmt sheetId="1" sqref="A379:XFD379" start="0" length="0">
    <dxf>
      <font>
        <b val="0"/>
        <name val="Times New Roman CYR"/>
        <family val="1"/>
      </font>
    </dxf>
  </rfmt>
  <rfmt sheetId="1" sqref="A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80" start="0" length="0">
    <dxf>
      <font>
        <b val="0"/>
        <name val="Times New Roman CYR"/>
        <family val="1"/>
      </font>
    </dxf>
  </rfmt>
  <rfmt sheetId="1" sqref="I380" start="0" length="0">
    <dxf>
      <font>
        <b val="0"/>
        <name val="Times New Roman CYR"/>
        <family val="1"/>
      </font>
    </dxf>
  </rfmt>
  <rfmt sheetId="1" sqref="A380:XFD380" start="0" length="0">
    <dxf>
      <font>
        <b val="0"/>
        <name val="Times New Roman CYR"/>
        <family val="1"/>
      </font>
    </dxf>
  </rfmt>
  <rcc rId="4521" sId="1">
    <nc r="A375" t="inlineStr">
      <is>
        <t>Охрана семьи и детства</t>
      </is>
    </nc>
  </rcc>
  <rcc rId="4522" sId="1">
    <nc r="B375" t="inlineStr">
      <is>
        <t>10</t>
      </is>
    </nc>
  </rcc>
  <rcc rId="4523" sId="1">
    <nc r="C375" t="inlineStr">
      <is>
        <t>04</t>
      </is>
    </nc>
  </rcc>
  <rfmt sheetId="1" sqref="F375" start="0" length="0">
    <dxf>
      <alignment wrapText="1"/>
    </dxf>
  </rfmt>
  <rcc rId="4524" sId="1" odxf="1" dxf="1">
    <nc r="A376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  <ndxf>
      <fill>
        <patternFill patternType="none">
          <bgColor indexed="65"/>
        </patternFill>
      </fill>
      <alignment horizontal="left"/>
    </ndxf>
  </rcc>
  <rcc rId="4525" sId="1" odxf="1" dxf="1">
    <nc r="B376" t="inlineStr">
      <is>
        <t>10</t>
      </is>
    </nc>
    <ndxf>
      <fill>
        <patternFill patternType="none">
          <bgColor indexed="65"/>
        </patternFill>
      </fill>
    </ndxf>
  </rcc>
  <rcc rId="4526" sId="1" odxf="1" dxf="1">
    <nc r="C376" t="inlineStr">
      <is>
        <t>04</t>
      </is>
    </nc>
    <ndxf>
      <fill>
        <patternFill patternType="none">
          <bgColor indexed="65"/>
        </patternFill>
      </fill>
    </ndxf>
  </rcc>
  <rcc rId="4527" sId="1" odxf="1" dxf="1">
    <nc r="D376" t="inlineStr">
      <is>
        <t>09000 00000</t>
      </is>
    </nc>
    <ndxf>
      <fill>
        <patternFill patternType="none">
          <bgColor indexed="65"/>
        </patternFill>
      </fill>
    </ndxf>
  </rcc>
  <rfmt sheetId="1" sqref="E376" start="0" length="0">
    <dxf>
      <fill>
        <patternFill patternType="none">
          <bgColor indexed="65"/>
        </patternFill>
      </fill>
    </dxf>
  </rfmt>
  <rfmt sheetId="1" sqref="F376" start="0" length="0">
    <dxf>
      <alignment wrapText="0"/>
    </dxf>
  </rfmt>
  <rcc rId="4528" sId="1" odxf="1" dxf="1">
    <nc r="A377" t="inlineStr">
      <is>
        <t>Подпрограмма «Обеспечение жильем молодых семей»</t>
      </is>
    </nc>
    <ndxf>
      <font>
        <b/>
        <name val="Times New Roman"/>
        <family val="1"/>
      </font>
      <fill>
        <patternFill patternType="none">
          <bgColor indexed="65"/>
        </patternFill>
      </fill>
      <alignment horizontal="left"/>
    </ndxf>
  </rcc>
  <rcc rId="4529" sId="1" odxf="1" dxf="1">
    <nc r="B377" t="inlineStr">
      <is>
        <t>10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0" sId="1" odxf="1" dxf="1">
    <nc r="C377" t="inlineStr">
      <is>
        <t>04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1" sId="1" odxf="1" dxf="1">
    <nc r="D377" t="inlineStr">
      <is>
        <t>09500 00000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37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4532" sId="1" odxf="1" dxf="1">
    <nc r="A378" t="inlineStr">
      <is>
        <t>Основное мероприятие «Обеспечение жильем молодых семей»</t>
      </is>
    </nc>
    <ndxf>
      <fill>
        <patternFill patternType="none">
          <bgColor indexed="65"/>
        </patternFill>
      </fill>
      <alignment horizontal="left"/>
    </ndxf>
  </rcc>
  <rcc rId="4533" sId="1" odxf="1" dxf="1">
    <nc r="B378" t="inlineStr">
      <is>
        <t>10</t>
      </is>
    </nc>
    <ndxf>
      <fill>
        <patternFill patternType="none">
          <bgColor indexed="65"/>
        </patternFill>
      </fill>
    </ndxf>
  </rcc>
  <rcc rId="4534" sId="1" odxf="1" dxf="1">
    <nc r="C378" t="inlineStr">
      <is>
        <t>04</t>
      </is>
    </nc>
    <ndxf>
      <fill>
        <patternFill patternType="none">
          <bgColor indexed="65"/>
        </patternFill>
      </fill>
    </ndxf>
  </rcc>
  <rcc rId="4535" sId="1" odxf="1" dxf="1">
    <nc r="D378" t="inlineStr">
      <is>
        <t>09501 00000</t>
      </is>
    </nc>
    <ndxf>
      <fill>
        <patternFill patternType="none">
          <bgColor indexed="65"/>
        </patternFill>
      </fill>
    </ndxf>
  </rcc>
  <rfmt sheetId="1" sqref="E37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8" start="0" length="0">
    <dxf>
      <fill>
        <patternFill patternType="none">
          <bgColor indexed="65"/>
        </patternFill>
      </fill>
      <alignment wrapText="0"/>
    </dxf>
  </rfmt>
  <rcc rId="4536" sId="1" odxf="1" dxf="1">
    <nc r="A379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/>
    </ndxf>
  </rcc>
  <rcc rId="4537" sId="1" odxf="1" dxf="1">
    <nc r="B379" t="inlineStr">
      <is>
        <t>10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8" sId="1" odxf="1" dxf="1">
    <nc r="C379" t="inlineStr">
      <is>
        <t>04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9" sId="1" odxf="1" dxf="1">
    <nc r="D379" t="inlineStr">
      <is>
        <t>09501 L4970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7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cc rId="4540" sId="1" odxf="1" dxf="1">
    <nc r="A380" t="inlineStr">
      <is>
        <t>Субсидии гражданам на приобретение жилья</t>
      </is>
    </nc>
    <n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541" sId="1" odxf="1" dxf="1">
    <nc r="B380" t="inlineStr">
      <is>
        <t>10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2" sId="1" odxf="1" dxf="1">
    <nc r="C380" t="inlineStr">
      <is>
        <t>04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3" sId="1" odxf="1" dxf="1">
    <nc r="D380" t="inlineStr">
      <is>
        <t>09501 L4970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4" sId="1" odxf="1" dxf="1">
    <nc r="E380" t="inlineStr">
      <is>
        <t>322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F380" start="0" length="0">
    <dxf>
      <font>
        <i val="0"/>
        <name val="Times New Roman"/>
        <family val="1"/>
      </font>
      <alignment wrapText="0"/>
    </dxf>
  </rfmt>
  <rfmt sheetId="1" sqref="G375" start="0" length="0">
    <dxf>
      <alignment wrapText="1"/>
    </dxf>
  </rfmt>
  <rfmt sheetId="1" sqref="G376" start="0" length="0">
    <dxf>
      <alignment wrapText="0"/>
    </dxf>
  </rfmt>
  <rfmt sheetId="1" sqref="G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78" start="0" length="0">
    <dxf>
      <fill>
        <patternFill patternType="none">
          <bgColor indexed="65"/>
        </patternFill>
      </fill>
      <alignment wrapText="0"/>
    </dxf>
  </rfmt>
  <rfmt sheetId="1" sqref="G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80" start="0" length="0">
    <dxf>
      <font>
        <i val="0"/>
        <name val="Times New Roman"/>
        <family val="1"/>
      </font>
      <alignment wrapText="0"/>
    </dxf>
  </rfmt>
  <rcc rId="4545" sId="1" odxf="1" dxf="1">
    <nc r="F375">
      <f>F376</f>
    </nc>
    <ndxf>
      <alignment wrapText="0"/>
    </ndxf>
  </rcc>
  <rcc rId="4546" sId="1" odxf="1" dxf="1">
    <nc r="G375">
      <f>G376</f>
    </nc>
    <ndxf>
      <alignment wrapText="0"/>
    </ndxf>
  </rcc>
  <rcc rId="4547" sId="1" odxf="1" dxf="1">
    <nc r="F376">
      <f>F377</f>
    </nc>
    <ndxf>
      <fill>
        <patternFill patternType="none">
          <bgColor indexed="65"/>
        </patternFill>
      </fill>
    </ndxf>
  </rcc>
  <rcc rId="4548" sId="1" odxf="1" dxf="1">
    <nc r="G376">
      <f>G377</f>
    </nc>
    <ndxf>
      <fill>
        <patternFill patternType="none">
          <bgColor indexed="65"/>
        </patternFill>
      </fill>
    </ndxf>
  </rcc>
  <rcc rId="4549" sId="1">
    <nc r="F377">
      <f>F378</f>
    </nc>
  </rcc>
  <rcc rId="4550" sId="1">
    <nc r="G377">
      <f>G378</f>
    </nc>
  </rcc>
  <rcc rId="4551" sId="1">
    <nc r="F378">
      <f>F379</f>
    </nc>
  </rcc>
  <rcc rId="4552" sId="1">
    <nc r="G378">
      <f>G379</f>
    </nc>
  </rcc>
  <rcc rId="4553" sId="1">
    <nc r="F379">
      <f>F380</f>
    </nc>
  </rcc>
  <rcc rId="4554" sId="1">
    <nc r="G379">
      <f>G380</f>
    </nc>
  </rcc>
  <rcc rId="4555" sId="1" numFmtId="4">
    <nc r="F380">
      <f>1394.8</f>
    </nc>
  </rcc>
  <rcc rId="4556" sId="1" numFmtId="4">
    <nc r="G380">
      <f>1412.6</f>
    </nc>
  </rcc>
  <rcc rId="4557" sId="1">
    <oc r="F357">
      <f>F358+F363+F381</f>
    </oc>
    <nc r="F357">
      <f>F358+F363+F381+F375</f>
    </nc>
  </rcc>
  <rcc rId="4558" sId="1">
    <oc r="G357">
      <f>G358+G363+G381</f>
    </oc>
    <nc r="G357">
      <f>G358+G363+G381+G375</f>
    </nc>
  </rcc>
  <rcc rId="4559" sId="1">
    <oc r="F408">
      <f>859.2+2243.8</f>
    </oc>
    <nc r="F408">
      <f>859.2+2243.8-8.5</f>
    </nc>
  </rcc>
  <rcc rId="4560" sId="1">
    <oc r="F409">
      <f>259.5+677.6</f>
    </oc>
    <nc r="F409">
      <f>259.5+677.6-2.6</f>
    </nc>
  </rcc>
  <rcc rId="4561" sId="1">
    <oc r="G408">
      <f>859.2+2243.8</f>
    </oc>
    <nc r="G408">
      <f>859.2+2243.8-8.5</f>
    </nc>
  </rcc>
  <rcc rId="4562" sId="1">
    <oc r="G409">
      <f>259.5+677.6</f>
    </oc>
    <nc r="G409">
      <f>259.5+677.6-2.6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63" sId="1" numFmtId="34">
    <oc r="F443">
      <v>1512934.9</v>
    </oc>
    <nc r="F443">
      <v>1368160.46</v>
    </nc>
  </rcc>
  <rcc rId="4564" sId="1" numFmtId="34">
    <oc r="G443">
      <v>1455742.5999999999</v>
    </oc>
    <nc r="G443">
      <v>1367567.3600000001</v>
    </nc>
  </rcc>
  <rcc rId="4565" sId="1">
    <oc r="F415">
      <f>21385</f>
    </oc>
    <nc r="F415">
      <f>21385-10000</f>
    </nc>
  </rcc>
  <rcc rId="4566" sId="1">
    <oc r="G415">
      <f>21385</f>
    </oc>
    <nc r="G415">
      <f>21385-10000</f>
    </nc>
  </rcc>
  <rcc rId="4567" sId="1" numFmtId="4">
    <oc r="F348">
      <v>10978</v>
    </oc>
    <nc r="F348">
      <f>10978-5000</f>
    </nc>
  </rcc>
  <rcc rId="4568" sId="1" numFmtId="4">
    <oc r="G348">
      <v>10978</v>
    </oc>
    <nc r="G348">
      <f>10978-5000</f>
    </nc>
  </rcc>
  <rcc rId="4569" sId="1" numFmtId="4">
    <oc r="F349">
      <v>3315.4</v>
    </oc>
    <nc r="F349">
      <f>3315.4-1800</f>
    </nc>
  </rcc>
  <rcc rId="4570" sId="1" numFmtId="4">
    <oc r="G349">
      <v>3315.4</v>
    </oc>
    <nc r="G349">
      <f>3315.4-1800</f>
    </nc>
  </rcc>
  <rcc rId="4571" sId="1">
    <oc r="F330">
      <f>21670.6+1700</f>
    </oc>
    <nc r="F330">
      <f>21670.6+1700-10000</f>
    </nc>
  </rcc>
  <rcc rId="4572" sId="1">
    <oc r="G330">
      <f>21670.6+1700</f>
    </oc>
    <nc r="G330">
      <f>21670.6+1700-10000</f>
    </nc>
  </rcc>
  <rcc rId="4573" sId="1">
    <oc r="F324">
      <f>13032.1+500+1000</f>
    </oc>
    <nc r="F324">
      <f>13032.1+500+1000-4000</f>
    </nc>
  </rcc>
  <rcc rId="4574" sId="1">
    <oc r="G324">
      <f>13032.1+500+1000</f>
    </oc>
    <nc r="G324">
      <f>13032.1+500+1000-4000</f>
    </nc>
  </rcc>
  <rcc rId="4575" sId="1">
    <oc r="F251">
      <f>15442.2+1500+1000</f>
    </oc>
    <nc r="F251">
      <f>15442.2+1500+1000-7000</f>
    </nc>
  </rcc>
  <rcc rId="4576" sId="1">
    <oc r="G251">
      <f>15442.2+1500+1000</f>
    </oc>
    <nc r="G251">
      <f>15442.2+1500+1000-7000</f>
    </nc>
  </rcc>
  <rcc rId="4577" sId="1">
    <oc r="F304">
      <f>1969.3+1082.2</f>
    </oc>
    <nc r="F304">
      <f>1969.3+1082.2+7700</f>
    </nc>
  </rcc>
  <rcc rId="4578" sId="1">
    <oc r="G304">
      <f>1969.3+1082.2</f>
    </oc>
    <nc r="G304">
      <f>1969.3+1082.2+7700</f>
    </nc>
  </rcc>
  <rcc rId="4579" sId="1">
    <oc r="F305">
      <f>594.7+326.8</f>
    </oc>
    <nc r="F305">
      <f>594.7+326.8+2300</f>
    </nc>
  </rcc>
  <rcc rId="4580" sId="1">
    <oc r="G305">
      <f>594.7+326.8</f>
    </oc>
    <nc r="G305">
      <f>594.7+326.8+2300</f>
    </nc>
  </rcc>
  <rcc rId="4581" sId="1">
    <oc r="F258">
      <f>8525.8+179.8</f>
    </oc>
    <nc r="F258">
      <f>8525.8+179.8+3000</f>
    </nc>
  </rcc>
  <rcc rId="4582" sId="1">
    <oc r="G258">
      <f>8525.8+179.8</f>
    </oc>
    <nc r="G258">
      <f>8525.8+179.8+3000</f>
    </nc>
  </rcc>
  <rcc rId="4583" sId="1">
    <oc r="F259">
      <f>15665+340.5</f>
    </oc>
    <nc r="F259">
      <f>15665+340.5+3800</f>
    </nc>
  </rcc>
  <rcc rId="4584" sId="1">
    <oc r="G259">
      <f>15665+340.5</f>
    </oc>
    <nc r="G259">
      <f>15665+340.5+3800</f>
    </nc>
  </rcc>
  <rcc rId="4585" sId="1">
    <oc r="F215">
      <f>16093.8+3797.5</f>
    </oc>
    <nc r="F215">
      <f>16093.8+3797.5+10000+4000+7000-3895.619</f>
    </nc>
  </rcc>
  <rcc rId="4586" sId="1">
    <oc r="G215">
      <f>16093.8+3797.5</f>
    </oc>
    <nc r="G215">
      <f>16093.8+3797.5+10000+4000+7000-7214.463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7" sId="1">
    <oc r="F415">
      <f>21385-10000</f>
    </oc>
    <nc r="F415">
      <f>21385-10000-341.42509</f>
    </nc>
  </rcc>
  <rcc rId="4588" sId="1">
    <oc r="G415">
      <f>21385-10000</f>
    </oc>
    <nc r="G415">
      <f>21385-10000-345.78224</f>
    </nc>
  </rcc>
  <rcc rId="4589" sId="1">
    <oc r="F380">
      <f>1394.8</f>
    </oc>
    <nc r="F380">
      <f>1394.8+341.42509</f>
    </nc>
  </rcc>
  <rcc rId="4590" sId="1">
    <oc r="G380">
      <f>1412.6</f>
    </oc>
    <nc r="G380">
      <f>1412.6+245.78224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1" sId="1">
    <oc r="G380">
      <f>1412.6+245.78224</f>
    </oc>
    <nc r="G380">
      <f>1412.6+345.78224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2" sId="1">
    <oc r="F198">
      <f>16866.5+16.8665</f>
    </oc>
    <nc r="F198">
      <f>16866.5+16.866</f>
    </nc>
  </rcc>
  <rcc rId="4593" sId="1">
    <oc r="G198">
      <f>16183.9+16.1839</f>
    </oc>
    <nc r="G198">
      <f>16183.9+16.184</f>
    </nc>
  </rcc>
  <rcc rId="4594" sId="1" numFmtId="4">
    <oc r="F307">
      <v>300</v>
    </oc>
    <nc r="F307">
      <f>300+0.0005</f>
    </nc>
  </rcc>
  <rcc rId="4595" sId="1" numFmtId="4">
    <oc r="G307">
      <v>300</v>
    </oc>
    <nc r="G307">
      <f>300-0.0001</f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 numFmtId="4">
    <oc r="F107">
      <v>600</v>
    </oc>
    <nc r="F107">
      <v>380.8</v>
    </nc>
  </rcc>
  <rcc rId="4608" sId="1" numFmtId="4">
    <oc r="G107">
      <v>600</v>
    </oc>
    <nc r="G107">
      <v>380.8</v>
    </nc>
  </rcc>
  <rcc rId="4609" sId="1" numFmtId="4">
    <nc r="F108">
      <v>114.99</v>
    </nc>
  </rcc>
  <rcc rId="4610" sId="1" numFmtId="4">
    <nc r="G108">
      <v>114.99</v>
    </nc>
  </rcc>
  <rcc rId="4611" sId="1" numFmtId="4">
    <nc r="F109">
      <v>2.21</v>
    </nc>
  </rcc>
  <rcc rId="4612" sId="1" numFmtId="4">
    <nc r="G109">
      <v>2.21</v>
    </nc>
  </rcc>
  <rcc rId="4613" sId="1" numFmtId="4">
    <nc r="F110">
      <v>102</v>
    </nc>
  </rcc>
  <rcc rId="4614" sId="1" numFmtId="4">
    <nc r="G110">
      <v>102</v>
    </nc>
  </rcc>
  <rcc rId="4615" sId="1" numFmtId="4">
    <oc r="F122">
      <f>14900+2129.735</f>
    </oc>
    <nc r="F122">
      <v>17029.71269</v>
    </nc>
  </rcc>
  <rcc rId="4616" sId="1" numFmtId="4">
    <oc r="G122">
      <v>14900</v>
    </oc>
    <nc r="G122">
      <v>14899.97769</v>
    </nc>
  </rcc>
  <rcc rId="4617" sId="1" numFmtId="4">
    <oc r="F166">
      <f>100000+3092.78-9090.9</f>
    </oc>
    <nc r="F166">
      <v>93720.721650000007</v>
    </nc>
  </rcc>
  <rcc rId="4618" sId="1" numFmtId="4">
    <oc r="G166">
      <f>100000+3092.78+909.1</f>
    </oc>
    <nc r="G166">
      <v>104030</v>
    </nc>
  </rcc>
  <rcc rId="4619" sId="1">
    <oc r="D165" t="inlineStr">
      <is>
        <t>043R1 9Д001</t>
      </is>
    </oc>
    <nc r="D165" t="inlineStr">
      <is>
        <t>043И8 54170</t>
      </is>
    </nc>
  </rcc>
  <rcc rId="4620" sId="1">
    <oc r="D166" t="inlineStr">
      <is>
        <t>043R1 9Д001</t>
      </is>
    </oc>
    <nc r="D166" t="inlineStr">
      <is>
        <t>043И8 54170</t>
      </is>
    </nc>
  </rcc>
  <rcc rId="4621" sId="1" numFmtId="4">
    <oc r="F193">
      <f>532+532</f>
    </oc>
    <nc r="F193">
      <v>1064.0446199999999</v>
    </nc>
  </rcc>
  <rcc rId="4622" sId="1" numFmtId="4">
    <oc r="G193">
      <f>532+532</f>
    </oc>
    <nc r="G193">
      <v>1064.0446199999999</v>
    </nc>
  </rcc>
  <rcc rId="4623" sId="1">
    <oc r="F370">
      <f>770+85.55768</f>
    </oc>
    <nc r="F370">
      <f>770.01907+85.55768</f>
    </nc>
  </rcc>
  <rcc rId="4624" sId="1">
    <oc r="D228" t="inlineStr">
      <is>
        <t>10201 L0500</t>
      </is>
    </oc>
    <nc r="D228" t="inlineStr">
      <is>
        <t>102Ю6 50500</t>
      </is>
    </nc>
  </rcc>
  <rcc rId="4625" sId="1">
    <oc r="D229" t="inlineStr">
      <is>
        <t>10201 L0500</t>
      </is>
    </oc>
    <nc r="D229" t="inlineStr">
      <is>
        <t>102Ю6 50500</t>
      </is>
    </nc>
  </rcc>
  <rcc rId="4626" sId="1">
    <oc r="D238" t="inlineStr">
      <is>
        <t>102EВ 51790</t>
      </is>
    </oc>
    <nc r="D238" t="inlineStr">
      <is>
        <t>102Ю6 51790</t>
      </is>
    </nc>
  </rcc>
  <rcc rId="4627" sId="1">
    <oc r="D239" t="inlineStr">
      <is>
        <t>102EВ 51790</t>
      </is>
    </oc>
    <nc r="D239" t="inlineStr">
      <is>
        <t>102Ю6 51790</t>
      </is>
    </nc>
  </rcc>
  <rcc rId="4628" sId="1">
    <oc r="D220" t="inlineStr">
      <is>
        <t>10201 L3030</t>
      </is>
    </oc>
    <nc r="D220" t="inlineStr">
      <is>
        <t>102Ю6 53030</t>
      </is>
    </nc>
  </rcc>
  <rcc rId="4629" sId="1" odxf="1" dxf="1">
    <oc r="D221" t="inlineStr">
      <is>
        <t>10201 L3030</t>
      </is>
    </oc>
    <nc r="D221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4630" sId="1" ref="A240:XFD241" action="insertRow"/>
  <rm rId="4631" sheetId="1" source="A220:XFD221" destination="A240:XFD241" sourceSheetId="1">
    <rfmt sheetId="1" xfDxf="1" sqref="A240:XFD240" start="0" length="0">
      <dxf>
        <font>
          <i/>
          <name val="Times New Roman CYR"/>
          <family val="1"/>
        </font>
        <alignment wrapText="1"/>
      </dxf>
    </rfmt>
    <rfmt sheetId="1" xfDxf="1" sqref="A241:XFD241" start="0" length="0">
      <dxf>
        <font>
          <i/>
          <name val="Times New Roman CYR"/>
          <family val="1"/>
        </font>
        <alignment wrapText="1"/>
      </dxf>
    </rfmt>
    <rfmt sheetId="1" sqref="A24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1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632" sId="1" ref="A220:XFD220" action="deleteRow">
    <rfmt sheetId="1" xfDxf="1" sqref="A220:XFD220" start="0" length="0">
      <dxf>
        <font>
          <name val="Times New Roman CYR"/>
          <family val="1"/>
        </font>
        <alignment wrapText="1"/>
      </dxf>
    </rfmt>
  </rrc>
  <rrc rId="4633" sId="1" ref="A220:XFD220" action="deleteRow">
    <rfmt sheetId="1" xfDxf="1" sqref="A220:XFD220" start="0" length="0">
      <dxf>
        <font>
          <name val="Times New Roman CYR"/>
          <family val="1"/>
        </font>
        <alignment wrapText="1"/>
      </dxf>
    </rfmt>
  </rrc>
  <rcc rId="4634" sId="1">
    <oc r="D126" t="inlineStr">
      <is>
        <t>99900 S2980</t>
      </is>
    </oc>
    <nc r="D126" t="inlineStr">
      <is>
        <t>99900 9Т001</t>
      </is>
    </nc>
  </rcc>
  <rcc rId="4635" sId="1" odxf="1" dxf="1">
    <oc r="D125" t="inlineStr">
      <is>
        <t>99900 S2980</t>
      </is>
    </oc>
    <nc r="D125" t="inlineStr">
      <is>
        <t>99900 9Т001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125" start="0" length="2147483647">
    <dxf>
      <font>
        <i/>
      </font>
    </dxf>
  </rfmt>
  <rcc rId="4636" sId="1" numFmtId="4">
    <oc r="F164">
      <f>17764.6-44.16-3092.78</f>
    </oc>
    <nc r="F164">
      <v>14908.81835</v>
    </nc>
  </rcc>
  <rcc rId="4637" sId="1" numFmtId="4">
    <oc r="G164">
      <f>17764.6-44.16-3092.78</f>
    </oc>
    <nc r="G164">
      <v>14599.54</v>
    </nc>
  </rcc>
  <rcc rId="4638" sId="1">
    <oc r="D273" t="inlineStr">
      <is>
        <t>09401 83890</t>
      </is>
    </oc>
    <nc r="D273" t="inlineStr">
      <is>
        <t>094Е8 72Р50</t>
      </is>
    </nc>
  </rcc>
  <rcc rId="4639" sId="1" odxf="1" dxf="1">
    <oc r="D274" t="inlineStr">
      <is>
        <t>09401 83890</t>
      </is>
    </oc>
    <nc r="D274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>
    <oc r="F373">
      <f>1500+47.1+233.1</f>
    </oc>
    <nc r="F373">
      <f>1500+47.1+233.13</f>
    </nc>
  </rcc>
  <rcc rId="4641" sId="1">
    <oc r="G373">
      <f>1500+47.1+233.1</f>
    </oc>
    <nc r="G373">
      <f>1500+47.1+233.13</f>
    </nc>
  </rcc>
  <rcc rId="4642" sId="1" numFmtId="4">
    <oc r="F380">
      <f>1394.8+341.42509</f>
    </oc>
    <nc r="F380">
      <v>1736.2223300000001</v>
    </nc>
  </rcc>
  <rcc rId="4643" sId="1" numFmtId="4">
    <oc r="G380">
      <f>1412.6+345.78224</f>
    </oc>
    <nc r="G380">
      <v>1758.36861</v>
    </nc>
  </rcc>
  <rcc rId="4644" sId="1" numFmtId="4">
    <oc r="F148">
      <v>17.2</v>
    </oc>
    <nc r="F148">
      <v>17.2056</v>
    </nc>
  </rcc>
  <rcc rId="4645" sId="1" numFmtId="4">
    <oc r="F149">
      <v>5.2</v>
    </oc>
    <nc r="F149">
      <v>5.1960800000000003</v>
    </nc>
  </rcc>
  <rcc rId="4646" sId="1" numFmtId="4">
    <oc r="G148">
      <v>17.2</v>
    </oc>
    <nc r="G148">
      <v>17.2056</v>
    </nc>
  </rcc>
  <rcc rId="4647" sId="1" numFmtId="4">
    <oc r="G149">
      <v>5.2</v>
    </oc>
    <nc r="G149">
      <v>5.1960800000000003</v>
    </nc>
  </rcc>
  <rcc rId="4648" sId="1" numFmtId="4">
    <oc r="F198">
      <f>16866.5+16.866</f>
    </oc>
    <nc r="F198">
      <v>16883.355</v>
    </nc>
  </rcc>
  <rcc rId="4649" sId="1" numFmtId="4">
    <oc r="G198">
      <f>16183.9+16.184</f>
    </oc>
    <nc r="G198">
      <v>16200.074000000001</v>
    </nc>
  </rcc>
  <rcc rId="4650" sId="1">
    <oc r="D196" t="inlineStr">
      <is>
        <t>160F2 00000</t>
      </is>
    </oc>
    <nc r="D196" t="inlineStr">
      <is>
        <t>160И4 00000</t>
      </is>
    </nc>
  </rcc>
  <rcc rId="4651" sId="1">
    <oc r="D197" t="inlineStr">
      <is>
        <t>160F2 55550</t>
      </is>
    </oc>
    <nc r="D197" t="inlineStr">
      <is>
        <t>160И4 55550</t>
      </is>
    </nc>
  </rcc>
  <rcc rId="4652" sId="1">
    <oc r="D198" t="inlineStr">
      <is>
        <t>160F2 55550</t>
      </is>
    </oc>
    <nc r="D198" t="inlineStr">
      <is>
        <t>160И4 55550</t>
      </is>
    </nc>
  </rcc>
  <rcc rId="4653" sId="1" numFmtId="4">
    <oc r="F367">
      <f>11369+127.9224</f>
    </oc>
    <nc r="F367">
      <v>11496.9123</v>
    </nc>
  </rcc>
  <rcc rId="4654" sId="1">
    <oc r="E370" t="inlineStr">
      <is>
        <t>622</t>
      </is>
    </oc>
    <nc r="E370" t="inlineStr">
      <is>
        <t>322</t>
      </is>
    </nc>
  </rcc>
  <rcc rId="4655" sId="1" xfDxf="1" dxf="1">
    <oc r="A370" t="inlineStr">
      <is>
        <t>Субсидии автономным учреждениям на иные цели</t>
      </is>
    </oc>
    <nc r="A370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9EB50DC-BC7E-40F0-8A51-0BBE6B12FA5A}" action="delete"/>
  <rdn rId="0" localSheetId="1" customView="1" name="Z_A9EB50DC_BC7E_40F0_8A51_0BBE6B12FA5A_.wvu.PrintArea" hidden="1" oldHidden="1">
    <formula>Ведом.структура!$A$1:$G$441</formula>
    <oldFormula>Ведом.структура!$A$1:$G$441</oldFormula>
  </rdn>
  <rdn rId="0" localSheetId="1" customView="1" name="Z_A9EB50DC_BC7E_40F0_8A51_0BBE6B12FA5A_.wvu.FilterData" hidden="1" oldHidden="1">
    <formula>Ведом.структура!$A$13:$G$450</formula>
    <oldFormula>Ведом.структура!$A$13:$G$450</oldFormula>
  </rdn>
  <rcv guid="{A9EB50DC-BC7E-40F0-8A51-0BBE6B12FA5A}" action="add"/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5" start="0" length="0">
    <dxf>
      <numFmt numFmtId="171" formatCode="#,##0.00000"/>
    </dxf>
  </rfmt>
  <rfmt sheetId="1" sqref="G445" start="0" length="0">
    <dxf>
      <numFmt numFmtId="171" formatCode="#,##0.00000"/>
    </dxf>
  </rfmt>
  <rfmt sheetId="1" s="1" sqref="F447" start="0" length="0">
    <dxf>
      <numFmt numFmtId="164" formatCode="_-* #,##0.00\ _₽_-;\-* #,##0.00\ _₽_-;_-* &quot;-&quot;??\ _₽_-;_-@_-"/>
    </dxf>
  </rfmt>
  <rfmt sheetId="1" s="1" sqref="G447" start="0" length="0">
    <dxf>
      <numFmt numFmtId="164" formatCode="_-* #,##0.00\ _₽_-;\-* #,##0.00\ _₽_-;_-* &quot;-&quot;??\ _₽_-;_-@_-"/>
    </dxf>
  </rfmt>
  <rfmt sheetId="1" sqref="F448" start="0" length="0">
    <dxf>
      <numFmt numFmtId="171" formatCode="#,##0.00000"/>
    </dxf>
  </rfmt>
  <rfmt sheetId="1" sqref="G448" start="0" length="0">
    <dxf>
      <numFmt numFmtId="171" formatCode="#,##0.00000"/>
    </dxf>
  </rfmt>
  <rcc rId="4658" sId="1" numFmtId="34">
    <oc r="F443">
      <v>1368160.66</v>
    </oc>
    <nc r="F443">
      <f>F441-F440</f>
    </nc>
  </rcc>
  <rcc rId="4659" sId="1" numFmtId="4">
    <oc r="F445">
      <f>F441-F443</f>
    </oc>
    <nc r="F445">
      <v>1358108.4702000001</v>
    </nc>
  </rcc>
  <rcc rId="4660" sId="1" numFmtId="4">
    <nc r="F446">
      <f>F443-F445</f>
    </nc>
  </rcc>
  <rcc rId="4661" sId="1">
    <oc r="G443">
      <v>1372558.66</v>
    </oc>
    <nc r="G443">
      <f>G441-G440</f>
    </nc>
  </rcc>
  <rcc rId="4662" sId="1" numFmtId="4">
    <oc r="G445">
      <f>G441-G443</f>
    </oc>
    <nc r="G445">
      <v>1352039.5123600001</v>
    </nc>
  </rcc>
  <rcc rId="4663" sId="1" numFmtId="4">
    <nc r="G446">
      <f>G443-G445</f>
    </nc>
  </rcc>
  <rcc rId="4664" sId="1" numFmtId="4">
    <oc r="F151">
      <v>1493.4</v>
    </oc>
    <nc r="F151">
      <v>1493.4449999999999</v>
    </nc>
  </rcc>
  <rcc rId="4665" sId="1" numFmtId="4">
    <oc r="G151">
      <v>1493.4</v>
    </oc>
    <nc r="G151">
      <v>1493.4449999999999</v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4" sId="1">
    <oc r="G3" t="inlineStr">
      <is>
        <t>от ___________2025    №____</t>
      </is>
    </oc>
    <nc r="G3" t="inlineStr">
      <is>
        <t>от 24 февраля 2025    № 28</t>
      </is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5" sId="1">
    <oc r="E170" t="inlineStr">
      <is>
        <t>622</t>
      </is>
    </oc>
    <nc r="E170" t="inlineStr">
      <is>
        <t>540</t>
      </is>
    </nc>
  </rcc>
  <rcc rId="4686" sId="1" odxf="1" dxf="1">
    <oc r="A170" t="inlineStr">
      <is>
        <t>Субсидии автономным учреждениям на иные цели</t>
      </is>
    </oc>
    <nc r="A170" t="inlineStr">
      <is>
        <t>Иные межбюджетные трансферты</t>
      </is>
    </nc>
    <odxf>
      <border outline="0">
        <left/>
      </border>
    </odxf>
    <ndxf>
      <border outline="0">
        <left style="thin">
          <color indexed="64"/>
        </left>
      </border>
    </ndxf>
  </rcc>
  <rcc rId="4687" sId="1" numFmtId="4">
    <oc r="F168">
      <v>14908.81835</v>
    </oc>
    <nc r="F168">
      <f>14908.81835+2811.62165</f>
    </nc>
  </rcc>
  <rcc rId="4688" sId="1" numFmtId="4">
    <oc r="G168">
      <v>14599.54</v>
    </oc>
    <nc r="G168">
      <f>14599.54+3120.9</f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9" sId="1" odxf="1" dxf="1" numFmtId="4">
    <oc r="F449">
      <v>1358108.4702000001</v>
    </oc>
    <nc r="F449">
      <v>1358108.4202000001</v>
    </nc>
    <odxf>
      <numFmt numFmtId="168" formatCode="#,##0.00000"/>
    </odxf>
    <ndxf>
      <numFmt numFmtId="165" formatCode="0.00000"/>
    </ndxf>
  </rcc>
  <rcc rId="4690" sId="1" odxf="1" dxf="1" numFmtId="4">
    <oc r="G449">
      <v>1352039.5123600001</v>
    </oc>
    <nc r="G449">
      <v>1352039.46236</v>
    </nc>
    <odxf>
      <numFmt numFmtId="168" formatCode="#,##0.00000"/>
    </odxf>
    <ndxf>
      <numFmt numFmtId="165" formatCode="0.00000"/>
    </ndxf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1" sId="1" numFmtId="4">
    <oc r="F206">
      <v>8886.66</v>
    </oc>
    <nc r="F206">
      <f>8886.66+4216.806</f>
    </nc>
  </rcc>
  <rcc rId="4692" sId="1" numFmtId="4">
    <oc r="G206">
      <v>8886.66</v>
    </oc>
    <nc r="G206">
      <f>8886.66+4216.806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3" sId="1" ref="A169:XFD169" action="insertRow"/>
  <rcc rId="4694" sId="1" odxf="1" dxf="1">
    <nc r="A169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  <border outline="0">
        <left/>
      </border>
    </odxf>
    <ndxf>
      <font>
        <b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cc rId="4695" sId="1" odxf="1" dxf="1">
    <nc r="B169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69" start="0" length="0">
    <dxf>
      <font>
        <b/>
        <name val="Times New Roman"/>
        <family val="1"/>
      </font>
    </dxf>
  </rfmt>
  <rcc rId="4696" sId="1" odxf="1" dxf="1">
    <nc r="D16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169" start="0" length="0">
    <dxf>
      <font>
        <b/>
        <name val="Times New Roman"/>
        <family val="1"/>
      </font>
    </dxf>
  </rfmt>
  <rcc rId="4697" sId="1" odxf="1" dxf="1">
    <nc r="F169">
      <f>F170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98" sId="1" odxf="1" dxf="1">
    <nc r="G169">
      <f>G170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169" start="0" length="0">
    <dxf>
      <font>
        <i/>
        <name val="Times New Roman CYR"/>
        <family val="1"/>
      </font>
    </dxf>
  </rfmt>
  <rfmt sheetId="1" sqref="I169" start="0" length="0">
    <dxf>
      <font>
        <i/>
        <name val="Times New Roman CYR"/>
        <family val="1"/>
      </font>
    </dxf>
  </rfmt>
  <rfmt sheetId="1" sqref="A169:XFD169" start="0" length="0">
    <dxf>
      <font>
        <i/>
        <name val="Times New Roman CYR"/>
        <family val="1"/>
      </font>
    </dxf>
  </rfmt>
  <rcc rId="4699" sId="1">
    <nc r="C169" t="inlineStr">
      <is>
        <t>09</t>
      </is>
    </nc>
  </rcc>
  <rcc rId="4700" sId="1">
    <oc r="D170" t="inlineStr">
      <is>
        <t>043И8 54170</t>
      </is>
    </oc>
    <nc r="D170" t="inlineStr">
      <is>
        <t>999И8 54170</t>
      </is>
    </nc>
  </rcc>
  <rcc rId="4701" sId="1">
    <oc r="D171" t="inlineStr">
      <is>
        <t>043И8 54170</t>
      </is>
    </oc>
    <nc r="D171" t="inlineStr">
      <is>
        <t>999И8 54170</t>
      </is>
    </nc>
  </rcc>
  <rrc rId="4702" sId="1" ref="A174:XFD176" action="insertRow"/>
  <rm rId="4703" sheetId="1" source="A169:XFD171" destination="A174:XFD176" sourceSheetId="1">
    <rfmt sheetId="1" xfDxf="1" sqref="A174:XFD174" start="0" length="0">
      <dxf>
        <font>
          <name val="Times New Roman CYR"/>
          <family val="1"/>
        </font>
        <alignment wrapText="1"/>
      </dxf>
    </rfmt>
    <rfmt sheetId="1" xfDxf="1" sqref="A175:XFD175" start="0" length="0">
      <dxf>
        <font>
          <name val="Times New Roman CYR"/>
          <family val="1"/>
        </font>
        <alignment wrapText="1"/>
      </dxf>
    </rfmt>
    <rfmt sheetId="1" xfDxf="1" sqref="A176:XFD176" start="0" length="0">
      <dxf>
        <font>
          <name val="Times New Roman CYR"/>
          <family val="1"/>
        </font>
        <alignment wrapText="1"/>
      </dxf>
    </rfmt>
    <rfmt sheetId="1" sqref="A17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04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4705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470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4707" sId="1">
    <oc r="F166">
      <f>F167+F169+F172</f>
    </oc>
    <nc r="F166">
      <f>F167+F169</f>
    </nc>
  </rcc>
  <rcc rId="4708" sId="1">
    <oc r="G166">
      <f>G167+G169+G172</f>
    </oc>
    <nc r="G166">
      <f>G167+G169</f>
    </nc>
  </rcc>
  <rcc rId="4709" sId="1">
    <oc r="F163">
      <f>F164</f>
    </oc>
    <nc r="F163">
      <f>F164+F171</f>
    </nc>
  </rcc>
  <rcc rId="4710" sId="1">
    <oc r="G163">
      <f>G164</f>
    </oc>
    <nc r="G163">
      <f>G164+G171</f>
    </nc>
  </rcc>
  <rcv guid="{A9EB50DC-BC7E-40F0-8A51-0BBE6B12FA5A}" action="delete"/>
  <rdn rId="0" localSheetId="1" customView="1" name="Z_A9EB50DC_BC7E_40F0_8A51_0BBE6B12FA5A_.wvu.PrintArea" hidden="1" oldHidden="1">
    <formula>Ведом.структура!$A$5:$G$446</formula>
    <oldFormula>Ведом.структура!$A$5:$G$446</oldFormula>
  </rdn>
  <rdn rId="0" localSheetId="1" customView="1" name="Z_A9EB50DC_BC7E_40F0_8A51_0BBE6B12FA5A_.wvu.FilterData" hidden="1" oldHidden="1">
    <formula>Ведом.структура!$A$17:$G$455</formula>
    <oldFormula>Ведом.структура!$A$17:$G$455</oldFormula>
  </rdn>
  <rcv guid="{A9EB50DC-BC7E-40F0-8A51-0BBE6B12FA5A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66" sId="1" ref="A55:XFD55" action="insertRow"/>
  <rrc rId="4767" sId="1" ref="A55:XFD55" action="insertRow"/>
  <rrc rId="4768" sId="1" ref="A55:XFD56" action="insertRow"/>
  <rrc rId="4769" sId="1" ref="A55:XFD58" action="insertRow"/>
  <rcc rId="4770" sId="1" odxf="1" dxf="1">
    <nc r="A56" t="inlineStr">
      <is>
        <t>Межбюджетные трансферты на осуществление части полномочий по осуществлению внешнего муниципального контроля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4771" sId="1" odxf="1" dxf="1">
    <nc r="B56" t="inlineStr">
      <is>
        <t>01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72" sId="1" odxf="1" dxf="1">
    <nc r="C56" t="inlineStr">
      <is>
        <t>06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73" sId="1" odxf="1" dxf="1">
    <nc r="D56" t="inlineStr">
      <is>
        <t>99900 43000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5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774" sId="1" odxf="1" dxf="1">
    <nc r="F56">
      <f>F57+F58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75" sId="1" odxf="1" dxf="1">
    <nc r="A57" t="inlineStr">
      <is>
        <t>Фонд оплаты труда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776" sId="1" odxf="1" dxf="1">
    <nc r="B57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77" sId="1" odxf="1" dxf="1">
    <nc r="C57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78" sId="1" odxf="1" dxf="1">
    <nc r="D57" t="inlineStr">
      <is>
        <t>99900 43000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79" sId="1" odxf="1" dxf="1">
    <nc r="E57" t="inlineStr">
      <is>
        <t>121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0" sId="1" odxf="1" dxf="1" numFmtId="4">
    <nc r="F57">
      <v>48.372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1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782" sId="1" odxf="1" dxf="1">
    <nc r="B58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3" sId="1" odxf="1" dxf="1">
    <nc r="C58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4" sId="1" odxf="1" dxf="1">
    <nc r="D58" t="inlineStr">
      <is>
        <t>99900 43000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5" sId="1" odxf="1" dxf="1">
    <nc r="E58" t="inlineStr">
      <is>
        <t>129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6" sId="1" odxf="1" dxf="1" numFmtId="4">
    <nc r="F58">
      <v>14.629350000000001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7" sId="1" odxf="1" dxf="1">
    <nc r="A59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4788" sId="1" odxf="1" dxf="1">
    <nc r="B5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89" sId="1" odxf="1" dxf="1">
    <nc r="C59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90" sId="1" odxf="1" dxf="1">
    <nc r="D59" t="inlineStr">
      <is>
        <t>99900 81000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9" start="0" length="0">
    <dxf>
      <font>
        <b/>
        <name val="Times New Roman"/>
        <family val="1"/>
      </font>
    </dxf>
  </rfmt>
  <rcc rId="4791" sId="1" odxf="1" dxf="1">
    <nc r="F59">
      <f>F60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92" sId="1" odxf="1" dxf="1">
    <nc r="A60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4793" sId="1" odxf="1" dxf="1">
    <nc r="B60" t="inlineStr">
      <is>
        <t>01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94" sId="1" odxf="1" dxf="1">
    <nc r="C60" t="inlineStr">
      <is>
        <t>06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95" sId="1" odxf="1" dxf="1">
    <nc r="D60" t="inlineStr">
      <is>
        <t>99900 81020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796" sId="1" odxf="1" dxf="1">
    <nc r="F60">
      <f>SUM(F61:F62)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97" sId="1" odxf="1" dxf="1">
    <nc r="A61" t="inlineStr">
      <is>
        <t>Фонд оплаты труда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798" sId="1" odxf="1" dxf="1">
    <nc r="B61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99" sId="1" odxf="1" dxf="1">
    <nc r="C61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0" sId="1" odxf="1" dxf="1">
    <nc r="D61" t="inlineStr">
      <is>
        <t>99900 81020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1" sId="1" odxf="1" dxf="1">
    <nc r="E61" t="inlineStr">
      <is>
        <t>121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61" start="0" length="0">
    <dxf>
      <fill>
        <patternFill patternType="solid">
          <bgColor theme="0"/>
        </patternFill>
      </fill>
    </dxf>
  </rfmt>
  <rcc rId="4802" sId="1" odxf="1" dxf="1">
    <nc r="A6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803" sId="1" odxf="1" dxf="1">
    <nc r="B62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4" sId="1" odxf="1" dxf="1">
    <nc r="C62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5" sId="1" odxf="1" dxf="1">
    <nc r="D62" t="inlineStr">
      <is>
        <t>99900 81020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6" sId="1" odxf="1" dxf="1">
    <nc r="E62" t="inlineStr">
      <is>
        <t>129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62" start="0" length="0">
    <dxf>
      <fill>
        <patternFill patternType="solid">
          <bgColor theme="0"/>
        </patternFill>
      </fill>
    </dxf>
  </rfmt>
  <rcc rId="4807" sId="1" odxf="1" dxf="1">
    <nc r="G56">
      <f>G57+G58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08" sId="1" odxf="1" dxf="1" numFmtId="4">
    <nc r="G57">
      <v>48.372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9" sId="1" odxf="1" dxf="1" numFmtId="4">
    <nc r="G58">
      <v>14.629350000000001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10" sId="1" odxf="1" dxf="1">
    <nc r="G59">
      <f>G60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1" sId="1" odxf="1" dxf="1">
    <nc r="G60">
      <f>SUM(G61:G62)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61" start="0" length="0">
    <dxf>
      <fill>
        <patternFill patternType="solid">
          <bgColor theme="0"/>
        </patternFill>
      </fill>
    </dxf>
  </rfmt>
  <rfmt sheetId="1" sqref="G62" start="0" length="0">
    <dxf>
      <fill>
        <patternFill patternType="solid">
          <bgColor theme="0"/>
        </patternFill>
      </fill>
    </dxf>
  </rfmt>
  <rcc rId="4812" sId="1" odxf="1" dxf="1">
    <nc r="A5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4813" sId="1" odxf="1" dxf="1">
    <nc r="B55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814" sId="1" odxf="1" dxf="1">
    <nc r="C55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815" sId="1" odxf="1" dxf="1">
    <nc r="D55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5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5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rc rId="4816" sId="1" ref="A56:XFD56" action="deleteRow">
    <undo index="0" exp="ref" v="1" dr="G56" r="G55" sId="1"/>
    <undo index="0" exp="ref" v="1" dr="F56" r="F55" sId="1"/>
    <rfmt sheetId="1" xfDxf="1" sqref="A56:XFD56" start="0" length="0">
      <dxf>
        <font>
          <i/>
          <name val="Times New Roman CYR"/>
          <family val="1"/>
        </font>
        <alignment wrapText="1"/>
      </dxf>
    </rfmt>
    <rcc rId="0" sId="1" dxf="1">
      <nc r="A56" t="inlineStr">
        <is>
          <t>Межбюджетные трансферты на осуществление части полномочий по осуществлению внешнего муниципального контроля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99900 43000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6">
        <f>G57+G58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56:XFD56" action="deleteRow">
    <rfmt sheetId="1" xfDxf="1" sqref="A56:XFD56" start="0" length="0">
      <dxf>
        <font>
          <i/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99900 43000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48.372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6">
        <v>48.372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56:XFD56" action="deleteRow">
    <rfmt sheetId="1" xfDxf="1" sqref="A56:XFD56" start="0" length="0">
      <dxf>
        <font>
          <i/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99900 43000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14.629350000000001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6">
        <v>14.629350000000001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19" sId="1" numFmtId="4">
    <nc r="F58">
      <v>855.7</v>
    </nc>
  </rcc>
  <rcc rId="4820" sId="1" numFmtId="4">
    <nc r="F59">
      <v>258.39999999999998</v>
    </nc>
  </rcc>
  <rcc rId="4821" sId="1" numFmtId="4">
    <nc r="G58">
      <v>855.7</v>
    </nc>
  </rcc>
  <rcc rId="4822" sId="1" numFmtId="4">
    <nc r="G59">
      <v>258.39999999999998</v>
    </nc>
  </rcc>
  <rcc rId="4823" sId="1">
    <nc r="F55">
      <f>F56</f>
    </nc>
  </rcc>
  <rcc rId="4824" sId="1">
    <oc r="F46">
      <f>F47</f>
    </oc>
    <nc r="F46">
      <f>F47+F55</f>
    </nc>
  </rcc>
  <rcc rId="4825" sId="1">
    <oc r="G46">
      <f>G47</f>
    </oc>
    <nc r="G46">
      <f>G47+G55</f>
    </nc>
  </rcc>
  <rcc rId="4826" sId="1">
    <nc r="G55">
      <f>G56</f>
    </nc>
  </rcc>
  <rcc rId="4827" sId="1" numFmtId="4">
    <oc r="F29">
      <v>1690.1</v>
    </oc>
    <nc r="F29">
      <f>1690.1-855.7</f>
    </nc>
  </rcc>
  <rcc rId="4828" sId="1" numFmtId="4">
    <oc r="F30">
      <v>510.4</v>
    </oc>
    <nc r="F30">
      <f>510.4-258.4</f>
    </nc>
  </rcc>
  <rcc rId="4829" sId="1" numFmtId="4">
    <oc r="G29">
      <v>1690.1</v>
    </oc>
    <nc r="G29">
      <f>1690.1-855.7</f>
    </nc>
  </rcc>
  <rcc rId="4830" sId="1" numFmtId="4">
    <oc r="G30">
      <v>510.4</v>
    </oc>
    <nc r="G30">
      <f>510.4-258.4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31" sId="1">
    <oc r="G3" t="inlineStr">
      <is>
        <t>от________ 2025    №____</t>
      </is>
    </oc>
    <nc r="G3" t="inlineStr">
      <is>
        <t>от 27 марта  2025    № 35</t>
      </is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32" sId="1" numFmtId="4">
    <oc r="F178">
      <v>93720.721650000007</v>
    </oc>
    <nc r="F178">
      <v>93720.719649999999</v>
    </nc>
  </rcc>
  <rcc rId="4833" sId="1" numFmtId="4">
    <oc r="G178">
      <v>104030</v>
    </oc>
    <nc r="G178">
      <v>104131.00199999999</v>
    </nc>
  </rcc>
  <rcc rId="4834" sId="1">
    <oc r="F235">
      <f>43870.5</f>
    </oc>
    <nc r="F235">
      <f>43870.5+437.8</f>
    </nc>
  </rcc>
  <rcc rId="4835" sId="1">
    <oc r="G235">
      <f>42291.905+4991.3-249.565</f>
    </oc>
    <nc r="G235">
      <f>42291.905+4991.3-249.565+437.8</f>
    </nc>
  </rcc>
  <rcc rId="4836" sId="1" numFmtId="4">
    <oc r="F255">
      <f>8320+437.8</f>
    </oc>
    <nc r="F255">
      <v>0</v>
    </nc>
  </rcc>
  <rcc rId="4837" sId="1" numFmtId="4">
    <oc r="G255">
      <f>8320+437.8</f>
    </oc>
    <nc r="G255">
      <v>0</v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38" sId="1" ref="A213:XFD219" action="insertRow"/>
  <rcc rId="4839" sId="1" odxf="1" dxf="1">
    <nc r="A213" t="inlineStr">
      <is>
        <t>ОХРАНА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vertical="center"/>
    </ndxf>
  </rcc>
  <rcc rId="4840" sId="1" odxf="1" dxf="1">
    <nc r="B21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1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1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1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41" sId="1" odxf="1" dxf="1">
    <nc r="F213">
      <f>F214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G21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2" sId="1" odxf="1" dxf="1">
    <nc r="A214" t="inlineStr">
      <is>
        <t>Другие вопросы в области охраны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4843" sId="1" odxf="1" dxf="1">
    <nc r="B214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44" sId="1" odxf="1" dxf="1">
    <nc r="C21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845" sId="1" odxf="1" dxf="1">
    <nc r="F214">
      <f>F215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G21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6" sId="1" odxf="1" dxf="1">
    <nc r="A215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4847" sId="1" odxf="1" dxf="1">
    <nc r="B215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48" sId="1" odxf="1" dxf="1">
    <nc r="C21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49" sId="1" odxf="1" dxf="1">
    <nc r="D21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15" start="0" length="0">
    <dxf>
      <font>
        <b/>
        <name val="Times New Roman"/>
        <family val="1"/>
      </font>
    </dxf>
  </rfmt>
  <rfmt sheetId="1" sqref="F215" start="0" length="0">
    <dxf>
      <font>
        <b/>
        <name val="Times New Roman"/>
        <family val="1"/>
      </font>
    </dxf>
  </rfmt>
  <rfmt sheetId="1" sqref="G21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0" sId="1" odxf="1" dxf="1">
    <nc r="A216" t="inlineStr">
      <is>
        <t>Субсидии бюджетам муниципальных образований (городских округов) на мероприятия по ликвидации несанкционированных свалок по решению суда</t>
      </is>
    </nc>
    <odxf>
      <font>
        <i val="0"/>
        <name val="Times New Roman"/>
        <family val="1"/>
      </font>
      <alignment horizontal="general" vertical="top"/>
    </odxf>
    <ndxf>
      <font>
        <i/>
        <name val="Times New Roman"/>
        <family val="1"/>
      </font>
      <alignment horizontal="left" vertical="center"/>
    </ndxf>
  </rcc>
  <rcc rId="4851" sId="1" odxf="1" dxf="1">
    <nc r="B21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52" sId="1" odxf="1" dxf="1">
    <nc r="C2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53" sId="1" odxf="1" dxf="1">
    <nc r="D216" t="inlineStr">
      <is>
        <t>99900 72Б60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16" start="0" length="0">
    <dxf>
      <font>
        <i/>
        <name val="Times New Roman"/>
        <family val="1"/>
      </font>
    </dxf>
  </rfmt>
  <rcc rId="4854" sId="1" odxf="1" dxf="1">
    <nc r="F216">
      <f>SUM(F217:F217)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1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5" sId="1" odxf="1" dxf="1">
    <nc r="A21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4856" sId="1">
    <nc r="B217" t="inlineStr">
      <is>
        <t>06</t>
      </is>
    </nc>
  </rcc>
  <rcc rId="4857" sId="1">
    <nc r="C217" t="inlineStr">
      <is>
        <t>05</t>
      </is>
    </nc>
  </rcc>
  <rcc rId="4858" sId="1" odxf="1" dxf="1">
    <nc r="D217" t="inlineStr">
      <is>
        <t>99900 72Б60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59" sId="1">
    <nc r="E217" t="inlineStr">
      <is>
        <t>540</t>
      </is>
    </nc>
  </rcc>
  <rcc rId="4860" sId="1" numFmtId="4">
    <nc r="F217">
      <v>3332.5145000000002</v>
    </nc>
  </rcc>
  <rfmt sheetId="1" sqref="G21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1" sId="1" odxf="1" dxf="1">
    <nc r="A218" t="inlineStr">
      <is>
        <t>Реализация мероприятий комплексных планов по снижению выбросов загрязняющих веществ в атмосферный воздух</t>
      </is>
    </nc>
    <odxf>
      <font>
        <i val="0"/>
        <name val="Times New Roman"/>
        <family val="1"/>
      </font>
      <alignment horizontal="general" vertical="top"/>
    </odxf>
    <ndxf>
      <font>
        <i/>
        <name val="Times New Roman"/>
        <family val="1"/>
      </font>
      <alignment horizontal="left" vertical="center"/>
    </ndxf>
  </rcc>
  <rcc rId="4862" sId="1" odxf="1" dxf="1">
    <nc r="B218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63" sId="1" odxf="1" dxf="1">
    <nc r="C2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64" sId="1" odxf="1" dxf="1">
    <nc r="D218" t="inlineStr">
      <is>
        <t>999Ч4 54410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18" start="0" length="0">
    <dxf>
      <font>
        <i/>
        <name val="Times New Roman"/>
        <family val="1"/>
      </font>
    </dxf>
  </rfmt>
  <rcc rId="4865" sId="1" odxf="1" dxf="1">
    <nc r="F218">
      <f>SUM(F219:F219)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1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6" sId="1" odxf="1" dxf="1">
    <nc r="A21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4867" sId="1">
    <nc r="B219" t="inlineStr">
      <is>
        <t>06</t>
      </is>
    </nc>
  </rcc>
  <rcc rId="4868" sId="1">
    <nc r="C219" t="inlineStr">
      <is>
        <t>05</t>
      </is>
    </nc>
  </rcc>
  <rcc rId="4869" sId="1" odxf="1" dxf="1">
    <nc r="D219" t="inlineStr">
      <is>
        <t>999Ч4 54410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0" sId="1">
    <nc r="E219" t="inlineStr">
      <is>
        <t>540</t>
      </is>
    </nc>
  </rcc>
  <rfmt sheetId="1" sqref="G21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1" sId="1" odxf="1" dxf="1">
    <nc r="G213">
      <f>G214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72" sId="1" odxf="1" dxf="1">
    <nc r="G214">
      <f>G215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5" start="0" length="0">
    <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873" sId="1" odxf="1" dxf="1">
    <nc r="G216">
      <f>SUM(G217:G217)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74" sId="1" odxf="1" dxf="1" numFmtId="4">
    <nc r="G217">
      <v>3332.5145000000002</v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75" sId="1" odxf="1" dxf="1">
    <nc r="G218">
      <f>SUM(G219:G219)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9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4876" sId="1" ref="A216:XFD216" action="deleteRow">
    <undo index="65535" exp="ref" v="1" dr="G216" r="G215" sId="1"/>
    <undo index="65535" exp="ref" v="1" dr="F216" r="F215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Субсидии бюджетам муниципальных образований (городских округов) на мероприятия по ликвидации несанкционированных свалок по решению суда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72Б60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SUM(F217:F217)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SUM(G217:G217)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7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72Б60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6">
        <v>3332.5145000000002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6">
        <v>3332.5145000000002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8" sId="1">
    <nc r="F215">
      <f>F216</f>
    </nc>
  </rcc>
  <rcc rId="4879" sId="1">
    <nc r="G215">
      <f>G216</f>
    </nc>
  </rcc>
  <rcc rId="4880" sId="1" numFmtId="4">
    <nc r="G217">
      <v>0</v>
    </nc>
  </rcc>
  <rcc rId="4881" sId="1" numFmtId="4">
    <nc r="F217">
      <v>725113.80784000002</v>
    </nc>
  </rcc>
  <rcc rId="4882" sId="1">
    <oc r="F456">
      <f>F18+F136+F142+F195+F218+F333+F372+F413+F446+F455</f>
    </oc>
    <nc r="F456">
      <f>F18+F136+F142+F195+F218+F333+F372+F413+F446+F455+F213</f>
    </nc>
  </rcc>
  <rcc rId="4883" sId="1">
    <oc r="G456">
      <f>G18+G136+G142+G195+G218+G333+G372+G413+G446+G455</f>
    </oc>
    <nc r="G456">
      <f>G18+G136+G142+G195+G218+G333+G372+G413+G446+G455+G213</f>
    </nc>
  </rcc>
  <rcc rId="4884" sId="1" numFmtId="34">
    <oc r="F458">
      <f>F451-F450</f>
    </oc>
    <nc r="F458">
      <f>F456-F455</f>
    </nc>
  </rcc>
  <rcc rId="4885" sId="1">
    <oc r="F461">
      <f>F458-F460</f>
    </oc>
    <nc r="F461"/>
  </rcc>
  <rcc rId="4886" sId="1">
    <oc r="G461">
      <f>G458-G460</f>
    </oc>
    <nc r="G461"/>
  </rcc>
  <rcc rId="4887" sId="1" numFmtId="4">
    <oc r="F460">
      <v>1358108.4202000001</v>
    </oc>
    <nc r="F460">
      <v>2081930.6536900001</v>
    </nc>
  </rcc>
  <rcc rId="4888" sId="1" numFmtId="4">
    <oc r="G460">
      <v>1352039.46236</v>
    </oc>
    <nc r="G460">
      <v>1351158.1703600001</v>
    </nc>
  </rcc>
  <rcc rId="4889" sId="1">
    <nc r="F462">
      <f>F458-F460</f>
    </nc>
  </rcc>
  <rcc rId="4890" sId="1">
    <nc r="G462">
      <f>G458-G460</f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1" sId="1" numFmtId="34">
    <oc r="F455">
      <v>10052.284</v>
    </oc>
    <nc r="F455">
      <v>10157.704</v>
    </nc>
  </rcc>
  <rcc rId="4892" sId="1" numFmtId="34">
    <oc r="G455">
      <v>20519.223000000002</v>
    </oc>
    <nc r="G455">
      <v>20730.062999999998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3" sId="1">
    <oc r="F240">
      <f>43870.5+437.8</f>
    </oc>
    <nc r="F240">
      <f>43870.5+437.8-105.42</f>
    </nc>
  </rcc>
  <rcc rId="4894" sId="1">
    <oc r="G240">
      <f>42291.905+4991.3-249.565+437.8</f>
    </oc>
    <nc r="G240">
      <f>42291.905+4991.3-249.565+437.8-210.84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5" sId="1" numFmtId="4">
    <oc r="F178">
      <v>93720.719649999999</v>
    </oc>
    <nc r="F178">
      <v>93720.719589999993</v>
    </nc>
  </rcc>
  <rcc rId="4896" sId="1" numFmtId="4">
    <oc r="G178">
      <v>104131.00199999999</v>
    </oc>
    <nc r="G178">
      <v>104134.12577</v>
    </nc>
  </rcc>
  <rcc rId="4897" sId="1" numFmtId="34">
    <oc r="F458">
      <f>F456-F455</f>
    </oc>
    <nc r="F458">
      <v>2081825.2336299999</v>
    </nc>
  </rcc>
  <rcc rId="4898" sId="1" numFmtId="34">
    <oc r="G458">
      <f>G456-G455</f>
    </oc>
    <nc r="G458">
      <v>1350950.45413</v>
    </nc>
  </rcc>
  <rcc rId="4899" sId="1">
    <oc r="F460">
      <v>2081930.6536900001</v>
    </oc>
    <nc r="F460">
      <f>F456-F458</f>
    </nc>
  </rcc>
  <rcc rId="4900" sId="1">
    <oc r="G460">
      <v>1351158.1703600001</v>
    </oc>
    <nc r="G460">
      <f>G456-G458</f>
    </nc>
  </rcc>
  <rcc rId="4901" sId="1">
    <oc r="F462">
      <f>F458-F460</f>
    </oc>
    <nc r="F462"/>
  </rcc>
  <rcc rId="4902" sId="1">
    <oc r="G462">
      <f>G458-G460</f>
    </oc>
    <nc r="G462"/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03" sId="1" numFmtId="4">
    <oc r="F178">
      <v>93720.719589999993</v>
    </oc>
    <nc r="F178">
      <v>93720.719649999999</v>
    </nc>
  </rcc>
  <rcc rId="4904" sId="1" numFmtId="4">
    <oc r="G178">
      <v>104134.12577</v>
    </oc>
    <nc r="G178">
      <v>104131.00199999999</v>
    </nc>
  </rcc>
  <rcv guid="{A9EB50DC-BC7E-40F0-8A51-0BBE6B12FA5A}" action="delete"/>
  <rdn rId="0" localSheetId="1" customView="1" name="Z_A9EB50DC_BC7E_40F0_8A51_0BBE6B12FA5A_.wvu.PrintArea" hidden="1" oldHidden="1">
    <formula>Ведом.структура!$A$5:$G$456</formula>
    <oldFormula>Ведом.структура!$A$5:$G$456</oldFormula>
  </rdn>
  <rdn rId="0" localSheetId="1" customView="1" name="Z_A9EB50DC_BC7E_40F0_8A51_0BBE6B12FA5A_.wvu.FilterData" hidden="1" oldHidden="1">
    <formula>Ведом.структура!$A$17:$G$465</formula>
    <oldFormula>Ведом.структура!$A$17:$G$465</oldFormula>
  </rdn>
  <rcv guid="{A9EB50DC-BC7E-40F0-8A51-0BBE6B12FA5A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07" sId="1" numFmtId="34">
    <oc r="F458">
      <v>2081825.2336299999</v>
    </oc>
    <nc r="F458">
      <v>2081825.2336899999</v>
    </nc>
  </rcc>
  <rcc rId="4908" sId="1" numFmtId="34">
    <oc r="G458">
      <v>1350950.45413</v>
    </oc>
    <nc r="G458">
      <v>1350947.33036</v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11" sId="1">
    <oc r="G3" t="inlineStr">
      <is>
        <t>от ___ мая  2025  №___</t>
      </is>
    </oc>
    <nc r="G3" t="inlineStr">
      <is>
        <t>от 29 мая 2025    № 46</t>
      </is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Ведом.структура!$A$5:$G$456</formula>
    <oldFormula>Ведом.структура!$A$5:$G$456</oldFormula>
  </rdn>
  <rdn rId="0" localSheetId="1" customView="1" name="Z_E97D42D2_9E10_4ADB_8FB1_0860F6F503F4_.wvu.FilterData" hidden="1" oldHidden="1">
    <formula>Ведом.структура!$A$17:$G$465</formula>
    <oldFormula>Ведом.структура!$A$17:$G$465</oldFormula>
  </rdn>
  <rcv guid="{E97D42D2-9E10-4ADB-8FB1-0860F6F503F4}" action="add"/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Ведом.структура!$A$5:$G$456</formula>
    <oldFormula>Ведом.структура!$A$5:$G$456</oldFormula>
  </rdn>
  <rdn rId="0" localSheetId="1" customView="1" name="Z_E97D42D2_9E10_4ADB_8FB1_0860F6F503F4_.wvu.FilterData" hidden="1" oldHidden="1">
    <formula>Ведом.структура!$A$17:$G$465</formula>
    <oldFormula>Ведом.структура!$A$17:$G$465</oldFormula>
  </rdn>
  <rcv guid="{E97D42D2-9E10-4ADB-8FB1-0860F6F503F4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Ведом.структура!$A$5:$G$456</formula>
    <oldFormula>Ведом.структура!$A$5:$G$456</oldFormula>
  </rdn>
  <rdn rId="0" localSheetId="1" customView="1" name="Z_E97D42D2_9E10_4ADB_8FB1_0860F6F503F4_.wvu.FilterData" hidden="1" oldHidden="1">
    <formula>Ведом.структура!$A$17:$G$465</formula>
    <oldFormula>Ведом.структура!$A$17:$G$465</oldFormula>
  </rdn>
  <rcv guid="{E97D42D2-9E10-4ADB-8FB1-0860F6F503F4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Ведом.структура!$A$5:$G$456</formula>
    <oldFormula>Ведом.структура!$A$5:$G$456</oldFormula>
  </rdn>
  <rdn rId="0" localSheetId="1" customView="1" name="Z_E97D42D2_9E10_4ADB_8FB1_0860F6F503F4_.wvu.FilterData" hidden="1" oldHidden="1">
    <formula>Ведом.структура!$A$17:$G$465</formula>
    <oldFormula>Ведом.структура!$A$17:$G$465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DCB1074F-E503-46CF-8BFD-6F9D2175D15F}" name="Пользователь" id="-1701993551" dateTime="2021-11-11T08:00:43"/>
  <userInfo guid="{CE1A8CA1-CD9B-4AFA-B39A-5397AC5B2B25}" name="User" id="-886967947" dateTime="2023-01-10T10:06:12"/>
  <userInfo guid="{26F5F438-EB1E-4B67-B6B6-717BCC2935BB}" name="БутытоваСГ" id="-555013923" dateTime="2025-07-11T09:43:14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72"/>
  <sheetViews>
    <sheetView tabSelected="1" zoomScaleNormal="100" zoomScaleSheetLayoutView="100" workbookViewId="0">
      <selection activeCell="I13" sqref="I13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85546875" style="1" customWidth="1"/>
    <col min="9" max="9" width="11.28515625" style="1" bestFit="1" customWidth="1"/>
    <col min="10" max="16384" width="9.140625" style="1"/>
  </cols>
  <sheetData>
    <row r="1" spans="1:7" x14ac:dyDescent="0.2">
      <c r="G1" s="3" t="s">
        <v>496</v>
      </c>
    </row>
    <row r="2" spans="1:7" x14ac:dyDescent="0.2">
      <c r="G2" s="3" t="s">
        <v>450</v>
      </c>
    </row>
    <row r="3" spans="1:7" x14ac:dyDescent="0.2">
      <c r="G3" s="3" t="s">
        <v>497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332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209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210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48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439</v>
      </c>
    </row>
    <row r="10" spans="1:7" ht="12.75" customHeight="1" x14ac:dyDescent="0.2">
      <c r="A10" s="43"/>
      <c r="B10" s="2"/>
      <c r="C10" s="2"/>
      <c r="D10" s="32"/>
      <c r="E10" s="110" t="s">
        <v>440</v>
      </c>
      <c r="F10" s="110"/>
      <c r="G10" s="110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451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14" t="s">
        <v>472</v>
      </c>
      <c r="B14" s="114"/>
      <c r="C14" s="114"/>
      <c r="D14" s="114"/>
      <c r="E14" s="114"/>
      <c r="F14" s="114"/>
      <c r="G14" s="114"/>
    </row>
    <row r="15" spans="1:7" ht="15.75" x14ac:dyDescent="0.25">
      <c r="A15" s="44"/>
      <c r="B15" s="44"/>
      <c r="C15" s="44"/>
      <c r="D15" s="44"/>
      <c r="E15" s="44"/>
      <c r="F15" s="45"/>
      <c r="G15" s="45" t="s">
        <v>104</v>
      </c>
    </row>
    <row r="16" spans="1:7" ht="12.75" customHeight="1" x14ac:dyDescent="0.2">
      <c r="A16" s="113" t="s">
        <v>17</v>
      </c>
      <c r="B16" s="111" t="s">
        <v>31</v>
      </c>
      <c r="C16" s="112"/>
      <c r="D16" s="112"/>
      <c r="E16" s="112"/>
      <c r="F16" s="115" t="s">
        <v>315</v>
      </c>
      <c r="G16" s="116"/>
    </row>
    <row r="17" spans="1:7" ht="25.5" x14ac:dyDescent="0.2">
      <c r="A17" s="113"/>
      <c r="B17" s="46" t="s">
        <v>27</v>
      </c>
      <c r="C17" s="46" t="s">
        <v>28</v>
      </c>
      <c r="D17" s="46" t="s">
        <v>29</v>
      </c>
      <c r="E17" s="46" t="s">
        <v>30</v>
      </c>
      <c r="F17" s="76">
        <v>2026</v>
      </c>
      <c r="G17" s="76">
        <v>2027</v>
      </c>
    </row>
    <row r="18" spans="1:7" x14ac:dyDescent="0.2">
      <c r="A18" s="33" t="s">
        <v>72</v>
      </c>
      <c r="B18" s="10" t="s">
        <v>18</v>
      </c>
      <c r="C18" s="10"/>
      <c r="D18" s="10"/>
      <c r="E18" s="10"/>
      <c r="F18" s="48">
        <f>F19+F25+F36+F42+F60+F64+F46</f>
        <v>124788.36611</v>
      </c>
      <c r="G18" s="48">
        <f>G19+G25+G36+G42+G60+G64+G46</f>
        <v>122559.59378999998</v>
      </c>
    </row>
    <row r="19" spans="1:7" ht="25.5" x14ac:dyDescent="0.2">
      <c r="A19" s="23" t="s">
        <v>53</v>
      </c>
      <c r="B19" s="9" t="s">
        <v>18</v>
      </c>
      <c r="C19" s="9" t="s">
        <v>19</v>
      </c>
      <c r="D19" s="9"/>
      <c r="E19" s="9"/>
      <c r="F19" s="49">
        <f t="shared" ref="F19:G21" si="0">F20</f>
        <v>3778.3</v>
      </c>
      <c r="G19" s="49">
        <f t="shared" si="0"/>
        <v>3778.3</v>
      </c>
    </row>
    <row r="20" spans="1:7" x14ac:dyDescent="0.2">
      <c r="A20" s="18" t="s">
        <v>105</v>
      </c>
      <c r="B20" s="11" t="s">
        <v>18</v>
      </c>
      <c r="C20" s="11" t="s">
        <v>19</v>
      </c>
      <c r="D20" s="11" t="s">
        <v>123</v>
      </c>
      <c r="E20" s="11"/>
      <c r="F20" s="50">
        <f t="shared" si="0"/>
        <v>3778.3</v>
      </c>
      <c r="G20" s="50">
        <f t="shared" si="0"/>
        <v>3778.3</v>
      </c>
    </row>
    <row r="21" spans="1:7" s="40" customFormat="1" ht="38.25" x14ac:dyDescent="0.2">
      <c r="A21" s="18" t="s">
        <v>47</v>
      </c>
      <c r="B21" s="11" t="s">
        <v>18</v>
      </c>
      <c r="C21" s="11" t="s">
        <v>19</v>
      </c>
      <c r="D21" s="11" t="s">
        <v>128</v>
      </c>
      <c r="E21" s="11"/>
      <c r="F21" s="50">
        <f t="shared" si="0"/>
        <v>3778.3</v>
      </c>
      <c r="G21" s="50">
        <f t="shared" si="0"/>
        <v>3778.3</v>
      </c>
    </row>
    <row r="22" spans="1:7" s="39" customFormat="1" ht="25.5" x14ac:dyDescent="0.2">
      <c r="A22" s="28" t="s">
        <v>99</v>
      </c>
      <c r="B22" s="4" t="s">
        <v>18</v>
      </c>
      <c r="C22" s="4" t="s">
        <v>19</v>
      </c>
      <c r="D22" s="4" t="s">
        <v>132</v>
      </c>
      <c r="E22" s="4"/>
      <c r="F22" s="5">
        <f>SUM(F23:F24)</f>
        <v>3778.3</v>
      </c>
      <c r="G22" s="5">
        <f>SUM(G23:G24)</f>
        <v>3778.3</v>
      </c>
    </row>
    <row r="23" spans="1:7" ht="25.5" x14ac:dyDescent="0.2">
      <c r="A23" s="14" t="s">
        <v>121</v>
      </c>
      <c r="B23" s="6" t="s">
        <v>18</v>
      </c>
      <c r="C23" s="6" t="s">
        <v>19</v>
      </c>
      <c r="D23" s="6" t="s">
        <v>132</v>
      </c>
      <c r="E23" s="6" t="s">
        <v>63</v>
      </c>
      <c r="F23" s="20">
        <v>2901.9</v>
      </c>
      <c r="G23" s="20">
        <v>2901.9</v>
      </c>
    </row>
    <row r="24" spans="1:7" ht="38.25" x14ac:dyDescent="0.2">
      <c r="A24" s="14" t="s">
        <v>122</v>
      </c>
      <c r="B24" s="6" t="s">
        <v>18</v>
      </c>
      <c r="C24" s="6" t="s">
        <v>19</v>
      </c>
      <c r="D24" s="6" t="s">
        <v>132</v>
      </c>
      <c r="E24" s="6" t="s">
        <v>115</v>
      </c>
      <c r="F24" s="20">
        <v>876.4</v>
      </c>
      <c r="G24" s="20">
        <v>876.4</v>
      </c>
    </row>
    <row r="25" spans="1:7" ht="38.25" x14ac:dyDescent="0.2">
      <c r="A25" s="27" t="s">
        <v>88</v>
      </c>
      <c r="B25" s="9" t="s">
        <v>18</v>
      </c>
      <c r="C25" s="9" t="s">
        <v>32</v>
      </c>
      <c r="D25" s="9"/>
      <c r="E25" s="9"/>
      <c r="F25" s="49">
        <f>F26</f>
        <v>4644.0999999999995</v>
      </c>
      <c r="G25" s="49">
        <f>G26</f>
        <v>4644.0999999999995</v>
      </c>
    </row>
    <row r="26" spans="1:7" x14ac:dyDescent="0.2">
      <c r="A26" s="34" t="s">
        <v>105</v>
      </c>
      <c r="B26" s="11" t="s">
        <v>18</v>
      </c>
      <c r="C26" s="11" t="s">
        <v>32</v>
      </c>
      <c r="D26" s="11" t="s">
        <v>123</v>
      </c>
      <c r="E26" s="11"/>
      <c r="F26" s="50">
        <f>F27</f>
        <v>4644.0999999999995</v>
      </c>
      <c r="G26" s="50">
        <f>G27</f>
        <v>4644.0999999999995</v>
      </c>
    </row>
    <row r="27" spans="1:7" s="40" customFormat="1" ht="38.25" x14ac:dyDescent="0.2">
      <c r="A27" s="18" t="s">
        <v>47</v>
      </c>
      <c r="B27" s="11" t="s">
        <v>18</v>
      </c>
      <c r="C27" s="11" t="s">
        <v>32</v>
      </c>
      <c r="D27" s="11" t="s">
        <v>128</v>
      </c>
      <c r="E27" s="11"/>
      <c r="F27" s="50">
        <f>F28+F33</f>
        <v>4644.0999999999995</v>
      </c>
      <c r="G27" s="50">
        <f>G28+G33</f>
        <v>4644.0999999999995</v>
      </c>
    </row>
    <row r="28" spans="1:7" ht="25.5" x14ac:dyDescent="0.2">
      <c r="A28" s="28" t="s">
        <v>92</v>
      </c>
      <c r="B28" s="4" t="s">
        <v>18</v>
      </c>
      <c r="C28" s="4" t="s">
        <v>32</v>
      </c>
      <c r="D28" s="4" t="s">
        <v>129</v>
      </c>
      <c r="E28" s="4"/>
      <c r="F28" s="5">
        <f>SUM(F29:F32)</f>
        <v>1621.3999999999999</v>
      </c>
      <c r="G28" s="5">
        <f>SUM(G29:G32)</f>
        <v>1621.3999999999999</v>
      </c>
    </row>
    <row r="29" spans="1:7" ht="25.5" x14ac:dyDescent="0.2">
      <c r="A29" s="14" t="s">
        <v>121</v>
      </c>
      <c r="B29" s="6" t="s">
        <v>18</v>
      </c>
      <c r="C29" s="6" t="s">
        <v>32</v>
      </c>
      <c r="D29" s="6" t="s">
        <v>129</v>
      </c>
      <c r="E29" s="6" t="s">
        <v>63</v>
      </c>
      <c r="F29" s="80">
        <f>1690.1-855.7</f>
        <v>834.39999999999986</v>
      </c>
      <c r="G29" s="80">
        <f>1690.1-855.7</f>
        <v>834.39999999999986</v>
      </c>
    </row>
    <row r="30" spans="1:7" ht="38.25" x14ac:dyDescent="0.2">
      <c r="A30" s="14" t="s">
        <v>122</v>
      </c>
      <c r="B30" s="6" t="s">
        <v>18</v>
      </c>
      <c r="C30" s="6" t="s">
        <v>32</v>
      </c>
      <c r="D30" s="6" t="s">
        <v>129</v>
      </c>
      <c r="E30" s="6" t="s">
        <v>115</v>
      </c>
      <c r="F30" s="80">
        <f>510.4-258.4</f>
        <v>252</v>
      </c>
      <c r="G30" s="80">
        <f>510.4-258.4</f>
        <v>252</v>
      </c>
    </row>
    <row r="31" spans="1:7" ht="25.5" x14ac:dyDescent="0.2">
      <c r="A31" s="35" t="s">
        <v>64</v>
      </c>
      <c r="B31" s="6" t="s">
        <v>18</v>
      </c>
      <c r="C31" s="6" t="s">
        <v>32</v>
      </c>
      <c r="D31" s="6" t="s">
        <v>129</v>
      </c>
      <c r="E31" s="6" t="s">
        <v>65</v>
      </c>
      <c r="F31" s="80">
        <v>35</v>
      </c>
      <c r="G31" s="80">
        <v>35</v>
      </c>
    </row>
    <row r="32" spans="1:7" ht="25.5" x14ac:dyDescent="0.2">
      <c r="A32" s="35" t="s">
        <v>66</v>
      </c>
      <c r="B32" s="6" t="s">
        <v>18</v>
      </c>
      <c r="C32" s="6" t="s">
        <v>32</v>
      </c>
      <c r="D32" s="6" t="s">
        <v>129</v>
      </c>
      <c r="E32" s="6" t="s">
        <v>67</v>
      </c>
      <c r="F32" s="80">
        <v>500</v>
      </c>
      <c r="G32" s="80">
        <v>500</v>
      </c>
    </row>
    <row r="33" spans="1:7" ht="25.5" x14ac:dyDescent="0.2">
      <c r="A33" s="28" t="s">
        <v>106</v>
      </c>
      <c r="B33" s="4" t="s">
        <v>18</v>
      </c>
      <c r="C33" s="4" t="s">
        <v>32</v>
      </c>
      <c r="D33" s="4" t="s">
        <v>130</v>
      </c>
      <c r="E33" s="4"/>
      <c r="F33" s="5">
        <f>SUM(F34:F35)</f>
        <v>3022.7</v>
      </c>
      <c r="G33" s="5">
        <f>SUM(G34:G35)</f>
        <v>3022.7</v>
      </c>
    </row>
    <row r="34" spans="1:7" ht="25.5" x14ac:dyDescent="0.2">
      <c r="A34" s="14" t="s">
        <v>121</v>
      </c>
      <c r="B34" s="6" t="s">
        <v>18</v>
      </c>
      <c r="C34" s="6" t="s">
        <v>32</v>
      </c>
      <c r="D34" s="6" t="s">
        <v>130</v>
      </c>
      <c r="E34" s="6" t="s">
        <v>63</v>
      </c>
      <c r="F34" s="20">
        <v>2321.6</v>
      </c>
      <c r="G34" s="20">
        <v>2321.6</v>
      </c>
    </row>
    <row r="35" spans="1:7" ht="38.25" x14ac:dyDescent="0.2">
      <c r="A35" s="14" t="s">
        <v>122</v>
      </c>
      <c r="B35" s="6" t="s">
        <v>18</v>
      </c>
      <c r="C35" s="6" t="s">
        <v>32</v>
      </c>
      <c r="D35" s="6" t="s">
        <v>130</v>
      </c>
      <c r="E35" s="6" t="s">
        <v>115</v>
      </c>
      <c r="F35" s="20">
        <v>701.1</v>
      </c>
      <c r="G35" s="20">
        <v>701.1</v>
      </c>
    </row>
    <row r="36" spans="1:7" ht="39" customHeight="1" x14ac:dyDescent="0.2">
      <c r="A36" s="23" t="s">
        <v>452</v>
      </c>
      <c r="B36" s="9" t="s">
        <v>18</v>
      </c>
      <c r="C36" s="9" t="s">
        <v>20</v>
      </c>
      <c r="D36" s="9"/>
      <c r="E36" s="9"/>
      <c r="F36" s="49">
        <f t="shared" ref="F36:G38" si="1">F37</f>
        <v>18589.04232</v>
      </c>
      <c r="G36" s="49">
        <f t="shared" si="1"/>
        <v>18674.599999999999</v>
      </c>
    </row>
    <row r="37" spans="1:7" x14ac:dyDescent="0.2">
      <c r="A37" s="34" t="s">
        <v>105</v>
      </c>
      <c r="B37" s="11" t="s">
        <v>18</v>
      </c>
      <c r="C37" s="11" t="s">
        <v>20</v>
      </c>
      <c r="D37" s="11" t="s">
        <v>123</v>
      </c>
      <c r="E37" s="11"/>
      <c r="F37" s="50">
        <f t="shared" si="1"/>
        <v>18589.04232</v>
      </c>
      <c r="G37" s="50">
        <f t="shared" si="1"/>
        <v>18674.599999999999</v>
      </c>
    </row>
    <row r="38" spans="1:7" s="40" customFormat="1" ht="38.25" x14ac:dyDescent="0.2">
      <c r="A38" s="18" t="s">
        <v>47</v>
      </c>
      <c r="B38" s="11" t="s">
        <v>33</v>
      </c>
      <c r="C38" s="11" t="s">
        <v>20</v>
      </c>
      <c r="D38" s="11" t="s">
        <v>128</v>
      </c>
      <c r="E38" s="11"/>
      <c r="F38" s="50">
        <f t="shared" si="1"/>
        <v>18589.04232</v>
      </c>
      <c r="G38" s="50">
        <f t="shared" si="1"/>
        <v>18674.599999999999</v>
      </c>
    </row>
    <row r="39" spans="1:7" ht="25.5" x14ac:dyDescent="0.2">
      <c r="A39" s="24" t="s">
        <v>92</v>
      </c>
      <c r="B39" s="4" t="s">
        <v>18</v>
      </c>
      <c r="C39" s="4" t="s">
        <v>20</v>
      </c>
      <c r="D39" s="4" t="s">
        <v>129</v>
      </c>
      <c r="E39" s="4"/>
      <c r="F39" s="5">
        <f>SUM(F40:F41)</f>
        <v>18589.04232</v>
      </c>
      <c r="G39" s="5">
        <f>SUM(G40:G41)</f>
        <v>18674.599999999999</v>
      </c>
    </row>
    <row r="40" spans="1:7" ht="25.5" x14ac:dyDescent="0.2">
      <c r="A40" s="14" t="s">
        <v>121</v>
      </c>
      <c r="B40" s="6" t="s">
        <v>18</v>
      </c>
      <c r="C40" s="6" t="s">
        <v>20</v>
      </c>
      <c r="D40" s="6" t="s">
        <v>129</v>
      </c>
      <c r="E40" s="6" t="s">
        <v>63</v>
      </c>
      <c r="F40" s="20">
        <f>14343-65.7</f>
        <v>14277.3</v>
      </c>
      <c r="G40" s="20">
        <v>14343</v>
      </c>
    </row>
    <row r="41" spans="1:7" ht="38.25" x14ac:dyDescent="0.2">
      <c r="A41" s="14" t="s">
        <v>122</v>
      </c>
      <c r="B41" s="6" t="s">
        <v>18</v>
      </c>
      <c r="C41" s="6" t="s">
        <v>20</v>
      </c>
      <c r="D41" s="6" t="s">
        <v>129</v>
      </c>
      <c r="E41" s="6" t="s">
        <v>115</v>
      </c>
      <c r="F41" s="20">
        <f>4331.6-19.85768</f>
        <v>4311.7423200000003</v>
      </c>
      <c r="G41" s="20">
        <v>4331.6000000000004</v>
      </c>
    </row>
    <row r="42" spans="1:7" x14ac:dyDescent="0.2">
      <c r="A42" s="23" t="s">
        <v>281</v>
      </c>
      <c r="B42" s="9" t="s">
        <v>18</v>
      </c>
      <c r="C42" s="9" t="s">
        <v>22</v>
      </c>
      <c r="D42" s="9"/>
      <c r="E42" s="9"/>
      <c r="F42" s="49">
        <f t="shared" ref="F42:G44" si="2">F43</f>
        <v>359.1</v>
      </c>
      <c r="G42" s="49">
        <f t="shared" si="2"/>
        <v>45.9</v>
      </c>
    </row>
    <row r="43" spans="1:7" x14ac:dyDescent="0.2">
      <c r="A43" s="18" t="s">
        <v>105</v>
      </c>
      <c r="B43" s="11" t="s">
        <v>18</v>
      </c>
      <c r="C43" s="11" t="s">
        <v>22</v>
      </c>
      <c r="D43" s="11" t="s">
        <v>123</v>
      </c>
      <c r="E43" s="11"/>
      <c r="F43" s="50">
        <f t="shared" si="2"/>
        <v>359.1</v>
      </c>
      <c r="G43" s="50">
        <f t="shared" si="2"/>
        <v>45.9</v>
      </c>
    </row>
    <row r="44" spans="1:7" ht="38.25" x14ac:dyDescent="0.2">
      <c r="A44" s="29" t="s">
        <v>282</v>
      </c>
      <c r="B44" s="4" t="s">
        <v>18</v>
      </c>
      <c r="C44" s="4" t="s">
        <v>22</v>
      </c>
      <c r="D44" s="4" t="s">
        <v>283</v>
      </c>
      <c r="E44" s="4"/>
      <c r="F44" s="5">
        <f t="shared" si="2"/>
        <v>359.1</v>
      </c>
      <c r="G44" s="5">
        <f t="shared" si="2"/>
        <v>45.9</v>
      </c>
    </row>
    <row r="45" spans="1:7" ht="25.5" x14ac:dyDescent="0.2">
      <c r="A45" s="35" t="s">
        <v>101</v>
      </c>
      <c r="B45" s="6" t="s">
        <v>18</v>
      </c>
      <c r="C45" s="6" t="s">
        <v>22</v>
      </c>
      <c r="D45" s="6" t="s">
        <v>283</v>
      </c>
      <c r="E45" s="6" t="s">
        <v>67</v>
      </c>
      <c r="F45" s="80">
        <v>359.1</v>
      </c>
      <c r="G45" s="80">
        <v>45.9</v>
      </c>
    </row>
    <row r="46" spans="1:7" ht="38.25" x14ac:dyDescent="0.2">
      <c r="A46" s="27" t="s">
        <v>52</v>
      </c>
      <c r="B46" s="9" t="s">
        <v>18</v>
      </c>
      <c r="C46" s="9" t="s">
        <v>25</v>
      </c>
      <c r="D46" s="9"/>
      <c r="E46" s="9"/>
      <c r="F46" s="49">
        <f>F47+F55</f>
        <v>13781.5</v>
      </c>
      <c r="G46" s="49">
        <f>G47+G55</f>
        <v>13781.5</v>
      </c>
    </row>
    <row r="47" spans="1:7" ht="25.5" x14ac:dyDescent="0.2">
      <c r="A47" s="38" t="s">
        <v>456</v>
      </c>
      <c r="B47" s="11" t="s">
        <v>18</v>
      </c>
      <c r="C47" s="11" t="s">
        <v>25</v>
      </c>
      <c r="D47" s="11" t="s">
        <v>117</v>
      </c>
      <c r="E47" s="11"/>
      <c r="F47" s="50">
        <f t="shared" ref="F47:G49" si="3">F48</f>
        <v>12667.4</v>
      </c>
      <c r="G47" s="50">
        <f t="shared" si="3"/>
        <v>12667.4</v>
      </c>
    </row>
    <row r="48" spans="1:7" ht="27" x14ac:dyDescent="0.25">
      <c r="A48" s="63" t="s">
        <v>286</v>
      </c>
      <c r="B48" s="7" t="s">
        <v>18</v>
      </c>
      <c r="C48" s="7" t="s">
        <v>25</v>
      </c>
      <c r="D48" s="7" t="s">
        <v>118</v>
      </c>
      <c r="E48" s="7"/>
      <c r="F48" s="42">
        <f t="shared" si="3"/>
        <v>12667.4</v>
      </c>
      <c r="G48" s="42">
        <f t="shared" si="3"/>
        <v>12667.4</v>
      </c>
    </row>
    <row r="49" spans="1:7" s="39" customFormat="1" ht="25.5" x14ac:dyDescent="0.2">
      <c r="A49" s="30" t="s">
        <v>120</v>
      </c>
      <c r="B49" s="4" t="s">
        <v>18</v>
      </c>
      <c r="C49" s="4" t="s">
        <v>25</v>
      </c>
      <c r="D49" s="4" t="s">
        <v>119</v>
      </c>
      <c r="E49" s="4"/>
      <c r="F49" s="5">
        <f t="shared" si="3"/>
        <v>12667.4</v>
      </c>
      <c r="G49" s="5">
        <f t="shared" si="3"/>
        <v>12667.4</v>
      </c>
    </row>
    <row r="50" spans="1:7" s="40" customFormat="1" ht="25.5" x14ac:dyDescent="0.2">
      <c r="A50" s="28" t="s">
        <v>92</v>
      </c>
      <c r="B50" s="4" t="s">
        <v>18</v>
      </c>
      <c r="C50" s="4" t="s">
        <v>25</v>
      </c>
      <c r="D50" s="4" t="s">
        <v>116</v>
      </c>
      <c r="E50" s="7"/>
      <c r="F50" s="5">
        <f>SUM(F51:F54)</f>
        <v>12667.4</v>
      </c>
      <c r="G50" s="5">
        <f>SUM(G51:G54)</f>
        <v>12667.4</v>
      </c>
    </row>
    <row r="51" spans="1:7" s="39" customFormat="1" ht="25.5" x14ac:dyDescent="0.2">
      <c r="A51" s="14" t="s">
        <v>121</v>
      </c>
      <c r="B51" s="6" t="s">
        <v>18</v>
      </c>
      <c r="C51" s="6" t="s">
        <v>25</v>
      </c>
      <c r="D51" s="6" t="s">
        <v>116</v>
      </c>
      <c r="E51" s="6" t="s">
        <v>63</v>
      </c>
      <c r="F51" s="20">
        <v>8116.3</v>
      </c>
      <c r="G51" s="20">
        <v>8116.3</v>
      </c>
    </row>
    <row r="52" spans="1:7" s="39" customFormat="1" ht="38.25" x14ac:dyDescent="0.2">
      <c r="A52" s="14" t="s">
        <v>122</v>
      </c>
      <c r="B52" s="6" t="s">
        <v>18</v>
      </c>
      <c r="C52" s="6" t="s">
        <v>25</v>
      </c>
      <c r="D52" s="6" t="s">
        <v>116</v>
      </c>
      <c r="E52" s="6" t="s">
        <v>115</v>
      </c>
      <c r="F52" s="20">
        <v>2451.1</v>
      </c>
      <c r="G52" s="20">
        <v>2451.1</v>
      </c>
    </row>
    <row r="53" spans="1:7" s="39" customFormat="1" ht="25.5" x14ac:dyDescent="0.2">
      <c r="A53" s="97" t="s">
        <v>400</v>
      </c>
      <c r="B53" s="6" t="s">
        <v>18</v>
      </c>
      <c r="C53" s="6" t="s">
        <v>25</v>
      </c>
      <c r="D53" s="6" t="s">
        <v>116</v>
      </c>
      <c r="E53" s="6" t="s">
        <v>65</v>
      </c>
      <c r="F53" s="20">
        <v>1600</v>
      </c>
      <c r="G53" s="20">
        <v>1600</v>
      </c>
    </row>
    <row r="54" spans="1:7" s="39" customFormat="1" ht="25.5" x14ac:dyDescent="0.2">
      <c r="A54" s="14" t="s">
        <v>66</v>
      </c>
      <c r="B54" s="6" t="s">
        <v>18</v>
      </c>
      <c r="C54" s="6" t="s">
        <v>25</v>
      </c>
      <c r="D54" s="6" t="s">
        <v>116</v>
      </c>
      <c r="E54" s="6" t="s">
        <v>67</v>
      </c>
      <c r="F54" s="20">
        <v>500</v>
      </c>
      <c r="G54" s="20">
        <v>500</v>
      </c>
    </row>
    <row r="55" spans="1:7" s="39" customFormat="1" x14ac:dyDescent="0.2">
      <c r="A55" s="109" t="s">
        <v>105</v>
      </c>
      <c r="B55" s="90" t="s">
        <v>18</v>
      </c>
      <c r="C55" s="90" t="s">
        <v>25</v>
      </c>
      <c r="D55" s="90" t="s">
        <v>123</v>
      </c>
      <c r="E55" s="90"/>
      <c r="F55" s="82">
        <f>F56</f>
        <v>1114.0999999999999</v>
      </c>
      <c r="G55" s="82">
        <f>G56</f>
        <v>1114.0999999999999</v>
      </c>
    </row>
    <row r="56" spans="1:7" s="39" customFormat="1" ht="38.25" x14ac:dyDescent="0.2">
      <c r="A56" s="18" t="s">
        <v>47</v>
      </c>
      <c r="B56" s="11" t="s">
        <v>18</v>
      </c>
      <c r="C56" s="11" t="s">
        <v>25</v>
      </c>
      <c r="D56" s="11" t="s">
        <v>128</v>
      </c>
      <c r="E56" s="11"/>
      <c r="F56" s="50">
        <f>F57</f>
        <v>1114.0999999999999</v>
      </c>
      <c r="G56" s="50">
        <f>G57</f>
        <v>1114.0999999999999</v>
      </c>
    </row>
    <row r="57" spans="1:7" s="39" customFormat="1" ht="25.5" x14ac:dyDescent="0.2">
      <c r="A57" s="108" t="s">
        <v>92</v>
      </c>
      <c r="B57" s="94" t="s">
        <v>18</v>
      </c>
      <c r="C57" s="94" t="s">
        <v>25</v>
      </c>
      <c r="D57" s="94" t="s">
        <v>129</v>
      </c>
      <c r="E57" s="94"/>
      <c r="F57" s="81">
        <f>SUM(F58:F59)</f>
        <v>1114.0999999999999</v>
      </c>
      <c r="G57" s="81">
        <f>SUM(G58:G59)</f>
        <v>1114.0999999999999</v>
      </c>
    </row>
    <row r="58" spans="1:7" s="39" customFormat="1" ht="25.5" x14ac:dyDescent="0.2">
      <c r="A58" s="97" t="s">
        <v>121</v>
      </c>
      <c r="B58" s="89" t="s">
        <v>18</v>
      </c>
      <c r="C58" s="89" t="s">
        <v>25</v>
      </c>
      <c r="D58" s="89" t="s">
        <v>129</v>
      </c>
      <c r="E58" s="89" t="s">
        <v>63</v>
      </c>
      <c r="F58" s="80">
        <v>855.7</v>
      </c>
      <c r="G58" s="80">
        <v>855.7</v>
      </c>
    </row>
    <row r="59" spans="1:7" s="39" customFormat="1" ht="38.25" x14ac:dyDescent="0.2">
      <c r="A59" s="97" t="s">
        <v>122</v>
      </c>
      <c r="B59" s="89" t="s">
        <v>18</v>
      </c>
      <c r="C59" s="89" t="s">
        <v>25</v>
      </c>
      <c r="D59" s="89" t="s">
        <v>129</v>
      </c>
      <c r="E59" s="89" t="s">
        <v>115</v>
      </c>
      <c r="F59" s="80">
        <v>258.39999999999998</v>
      </c>
      <c r="G59" s="80">
        <v>258.39999999999998</v>
      </c>
    </row>
    <row r="60" spans="1:7" x14ac:dyDescent="0.2">
      <c r="A60" s="23" t="s">
        <v>10</v>
      </c>
      <c r="B60" s="9" t="s">
        <v>18</v>
      </c>
      <c r="C60" s="9" t="s">
        <v>36</v>
      </c>
      <c r="D60" s="9"/>
      <c r="E60" s="9"/>
      <c r="F60" s="49">
        <f>F62</f>
        <v>500</v>
      </c>
      <c r="G60" s="49">
        <f>G62</f>
        <v>500</v>
      </c>
    </row>
    <row r="61" spans="1:7" x14ac:dyDescent="0.2">
      <c r="A61" s="18" t="s">
        <v>105</v>
      </c>
      <c r="B61" s="11" t="s">
        <v>18</v>
      </c>
      <c r="C61" s="11" t="s">
        <v>36</v>
      </c>
      <c r="D61" s="11" t="s">
        <v>123</v>
      </c>
      <c r="E61" s="11"/>
      <c r="F61" s="50">
        <f>F62</f>
        <v>500</v>
      </c>
      <c r="G61" s="50">
        <f>G62</f>
        <v>500</v>
      </c>
    </row>
    <row r="62" spans="1:7" s="39" customFormat="1" x14ac:dyDescent="0.2">
      <c r="A62" s="24" t="s">
        <v>43</v>
      </c>
      <c r="B62" s="4" t="s">
        <v>18</v>
      </c>
      <c r="C62" s="4" t="s">
        <v>36</v>
      </c>
      <c r="D62" s="4" t="s">
        <v>133</v>
      </c>
      <c r="E62" s="4"/>
      <c r="F62" s="5">
        <f>F63</f>
        <v>500</v>
      </c>
      <c r="G62" s="5">
        <f>G63</f>
        <v>500</v>
      </c>
    </row>
    <row r="63" spans="1:7" x14ac:dyDescent="0.2">
      <c r="A63" s="35" t="s">
        <v>71</v>
      </c>
      <c r="B63" s="6" t="s">
        <v>18</v>
      </c>
      <c r="C63" s="6" t="s">
        <v>36</v>
      </c>
      <c r="D63" s="6" t="s">
        <v>133</v>
      </c>
      <c r="E63" s="6" t="s">
        <v>73</v>
      </c>
      <c r="F63" s="20">
        <v>500</v>
      </c>
      <c r="G63" s="20">
        <v>500</v>
      </c>
    </row>
    <row r="64" spans="1:7" x14ac:dyDescent="0.2">
      <c r="A64" s="23" t="s">
        <v>62</v>
      </c>
      <c r="B64" s="9" t="s">
        <v>18</v>
      </c>
      <c r="C64" s="9" t="s">
        <v>50</v>
      </c>
      <c r="D64" s="9"/>
      <c r="E64" s="9"/>
      <c r="F64" s="49">
        <f>F65+F75+F91+F95+F99+F103+F79</f>
        <v>83136.323789999995</v>
      </c>
      <c r="G64" s="49">
        <f>G65+G75+G91+G95+G99+G103+G79</f>
        <v>81135.19378999999</v>
      </c>
    </row>
    <row r="65" spans="1:7" ht="25.5" x14ac:dyDescent="0.2">
      <c r="A65" s="61" t="s">
        <v>391</v>
      </c>
      <c r="B65" s="11" t="s">
        <v>18</v>
      </c>
      <c r="C65" s="11" t="s">
        <v>50</v>
      </c>
      <c r="D65" s="11" t="s">
        <v>230</v>
      </c>
      <c r="E65" s="11"/>
      <c r="F65" s="50">
        <f>F66+F69+F72</f>
        <v>361</v>
      </c>
      <c r="G65" s="50">
        <f>G66+G69+G72</f>
        <v>361</v>
      </c>
    </row>
    <row r="66" spans="1:7" s="40" customFormat="1" ht="38.25" x14ac:dyDescent="0.2">
      <c r="A66" s="22" t="s">
        <v>270</v>
      </c>
      <c r="B66" s="4" t="s">
        <v>18</v>
      </c>
      <c r="C66" s="4" t="s">
        <v>50</v>
      </c>
      <c r="D66" s="4" t="s">
        <v>247</v>
      </c>
      <c r="E66" s="4"/>
      <c r="F66" s="5">
        <f>F67</f>
        <v>100</v>
      </c>
      <c r="G66" s="5">
        <f>G67</f>
        <v>100</v>
      </c>
    </row>
    <row r="67" spans="1:7" s="39" customFormat="1" ht="25.5" x14ac:dyDescent="0.2">
      <c r="A67" s="16" t="s">
        <v>112</v>
      </c>
      <c r="B67" s="4" t="s">
        <v>18</v>
      </c>
      <c r="C67" s="4" t="s">
        <v>50</v>
      </c>
      <c r="D67" s="4" t="s">
        <v>241</v>
      </c>
      <c r="E67" s="7"/>
      <c r="F67" s="5">
        <f>F68</f>
        <v>100</v>
      </c>
      <c r="G67" s="5">
        <f>G68</f>
        <v>100</v>
      </c>
    </row>
    <row r="68" spans="1:7" ht="25.5" x14ac:dyDescent="0.2">
      <c r="A68" s="15" t="s">
        <v>101</v>
      </c>
      <c r="B68" s="6" t="s">
        <v>18</v>
      </c>
      <c r="C68" s="6" t="s">
        <v>50</v>
      </c>
      <c r="D68" s="6" t="s">
        <v>241</v>
      </c>
      <c r="E68" s="6" t="s">
        <v>67</v>
      </c>
      <c r="F68" s="20">
        <v>100</v>
      </c>
      <c r="G68" s="20">
        <v>100</v>
      </c>
    </row>
    <row r="69" spans="1:7" ht="25.5" x14ac:dyDescent="0.2">
      <c r="A69" s="22" t="s">
        <v>271</v>
      </c>
      <c r="B69" s="4" t="s">
        <v>18</v>
      </c>
      <c r="C69" s="4" t="s">
        <v>50</v>
      </c>
      <c r="D69" s="4" t="s">
        <v>272</v>
      </c>
      <c r="E69" s="4"/>
      <c r="F69" s="5">
        <f>F70</f>
        <v>211</v>
      </c>
      <c r="G69" s="5">
        <f>G70</f>
        <v>211</v>
      </c>
    </row>
    <row r="70" spans="1:7" s="39" customFormat="1" ht="38.25" x14ac:dyDescent="0.2">
      <c r="A70" s="24" t="s">
        <v>231</v>
      </c>
      <c r="B70" s="4" t="s">
        <v>18</v>
      </c>
      <c r="C70" s="4" t="s">
        <v>50</v>
      </c>
      <c r="D70" s="4" t="s">
        <v>307</v>
      </c>
      <c r="E70" s="4"/>
      <c r="F70" s="5">
        <f>F71</f>
        <v>211</v>
      </c>
      <c r="G70" s="5">
        <f>G71</f>
        <v>211</v>
      </c>
    </row>
    <row r="71" spans="1:7" ht="25.5" x14ac:dyDescent="0.2">
      <c r="A71" s="15" t="s">
        <v>101</v>
      </c>
      <c r="B71" s="6" t="s">
        <v>18</v>
      </c>
      <c r="C71" s="6" t="s">
        <v>50</v>
      </c>
      <c r="D71" s="6" t="s">
        <v>307</v>
      </c>
      <c r="E71" s="6" t="s">
        <v>67</v>
      </c>
      <c r="F71" s="80">
        <f>211</f>
        <v>211</v>
      </c>
      <c r="G71" s="80">
        <f>211</f>
        <v>211</v>
      </c>
    </row>
    <row r="72" spans="1:7" s="40" customFormat="1" ht="38.25" x14ac:dyDescent="0.2">
      <c r="A72" s="64" t="s">
        <v>289</v>
      </c>
      <c r="B72" s="4" t="s">
        <v>18</v>
      </c>
      <c r="C72" s="4" t="s">
        <v>50</v>
      </c>
      <c r="D72" s="4" t="s">
        <v>290</v>
      </c>
      <c r="E72" s="4"/>
      <c r="F72" s="5">
        <f>F74</f>
        <v>50</v>
      </c>
      <c r="G72" s="5">
        <f>G74</f>
        <v>50</v>
      </c>
    </row>
    <row r="73" spans="1:7" s="40" customFormat="1" ht="25.5" x14ac:dyDescent="0.2">
      <c r="A73" s="16" t="s">
        <v>112</v>
      </c>
      <c r="B73" s="4" t="s">
        <v>18</v>
      </c>
      <c r="C73" s="4" t="s">
        <v>50</v>
      </c>
      <c r="D73" s="4" t="s">
        <v>291</v>
      </c>
      <c r="E73" s="7"/>
      <c r="F73" s="5">
        <f>F74</f>
        <v>50</v>
      </c>
      <c r="G73" s="5">
        <f>G74</f>
        <v>50</v>
      </c>
    </row>
    <row r="74" spans="1:7" s="40" customFormat="1" ht="25.5" x14ac:dyDescent="0.2">
      <c r="A74" s="15" t="s">
        <v>101</v>
      </c>
      <c r="B74" s="6" t="s">
        <v>18</v>
      </c>
      <c r="C74" s="6" t="s">
        <v>50</v>
      </c>
      <c r="D74" s="6" t="s">
        <v>291</v>
      </c>
      <c r="E74" s="6" t="s">
        <v>67</v>
      </c>
      <c r="F74" s="20">
        <v>50</v>
      </c>
      <c r="G74" s="20">
        <v>50</v>
      </c>
    </row>
    <row r="75" spans="1:7" s="40" customFormat="1" ht="38.25" x14ac:dyDescent="0.2">
      <c r="A75" s="61" t="s">
        <v>457</v>
      </c>
      <c r="B75" s="11" t="s">
        <v>18</v>
      </c>
      <c r="C75" s="11" t="s">
        <v>50</v>
      </c>
      <c r="D75" s="11" t="s">
        <v>242</v>
      </c>
      <c r="E75" s="11"/>
      <c r="F75" s="50">
        <f t="shared" ref="F75:G77" si="4">F76</f>
        <v>400</v>
      </c>
      <c r="G75" s="50">
        <f t="shared" si="4"/>
        <v>400</v>
      </c>
    </row>
    <row r="76" spans="1:7" s="40" customFormat="1" ht="38.25" x14ac:dyDescent="0.2">
      <c r="A76" s="24" t="s">
        <v>232</v>
      </c>
      <c r="B76" s="4" t="s">
        <v>18</v>
      </c>
      <c r="C76" s="4" t="s">
        <v>50</v>
      </c>
      <c r="D76" s="4" t="s">
        <v>243</v>
      </c>
      <c r="E76" s="4"/>
      <c r="F76" s="5">
        <f t="shared" si="4"/>
        <v>400</v>
      </c>
      <c r="G76" s="5">
        <f t="shared" si="4"/>
        <v>400</v>
      </c>
    </row>
    <row r="77" spans="1:7" s="65" customFormat="1" ht="26.25" x14ac:dyDescent="0.25">
      <c r="A77" s="16" t="s">
        <v>112</v>
      </c>
      <c r="B77" s="4" t="s">
        <v>18</v>
      </c>
      <c r="C77" s="4" t="s">
        <v>50</v>
      </c>
      <c r="D77" s="4" t="s">
        <v>244</v>
      </c>
      <c r="E77" s="4"/>
      <c r="F77" s="5">
        <f t="shared" si="4"/>
        <v>400</v>
      </c>
      <c r="G77" s="5">
        <f t="shared" si="4"/>
        <v>400</v>
      </c>
    </row>
    <row r="78" spans="1:7" s="40" customFormat="1" ht="25.5" x14ac:dyDescent="0.2">
      <c r="A78" s="15" t="s">
        <v>101</v>
      </c>
      <c r="B78" s="6" t="s">
        <v>18</v>
      </c>
      <c r="C78" s="6" t="s">
        <v>50</v>
      </c>
      <c r="D78" s="6" t="s">
        <v>244</v>
      </c>
      <c r="E78" s="6" t="s">
        <v>67</v>
      </c>
      <c r="F78" s="20">
        <v>400</v>
      </c>
      <c r="G78" s="20">
        <v>400</v>
      </c>
    </row>
    <row r="79" spans="1:7" s="39" customFormat="1" ht="51" x14ac:dyDescent="0.2">
      <c r="A79" s="38" t="s">
        <v>458</v>
      </c>
      <c r="B79" s="11" t="s">
        <v>18</v>
      </c>
      <c r="C79" s="11" t="s">
        <v>50</v>
      </c>
      <c r="D79" s="11" t="s">
        <v>141</v>
      </c>
      <c r="E79" s="11"/>
      <c r="F79" s="50">
        <f>F80</f>
        <v>10416.200000000001</v>
      </c>
      <c r="G79" s="50">
        <f>G80</f>
        <v>10416.200000000001</v>
      </c>
    </row>
    <row r="80" spans="1:7" s="39" customFormat="1" ht="40.5" x14ac:dyDescent="0.25">
      <c r="A80" s="63" t="s">
        <v>473</v>
      </c>
      <c r="B80" s="7" t="s">
        <v>18</v>
      </c>
      <c r="C80" s="7" t="s">
        <v>50</v>
      </c>
      <c r="D80" s="7" t="s">
        <v>142</v>
      </c>
      <c r="E80" s="7"/>
      <c r="F80" s="42">
        <f>F81+F88</f>
        <v>10416.200000000001</v>
      </c>
      <c r="G80" s="42">
        <f>G81+G88</f>
        <v>10416.200000000001</v>
      </c>
    </row>
    <row r="81" spans="1:7" s="39" customFormat="1" ht="38.25" x14ac:dyDescent="0.2">
      <c r="A81" s="30" t="s">
        <v>254</v>
      </c>
      <c r="B81" s="4" t="s">
        <v>18</v>
      </c>
      <c r="C81" s="4" t="s">
        <v>50</v>
      </c>
      <c r="D81" s="4" t="s">
        <v>313</v>
      </c>
      <c r="E81" s="4"/>
      <c r="F81" s="5">
        <f>F82+F85</f>
        <v>9616.2000000000007</v>
      </c>
      <c r="G81" s="5">
        <f>G82+G85</f>
        <v>9616.2000000000007</v>
      </c>
    </row>
    <row r="82" spans="1:7" ht="25.5" x14ac:dyDescent="0.2">
      <c r="A82" s="28" t="s">
        <v>92</v>
      </c>
      <c r="B82" s="4" t="s">
        <v>18</v>
      </c>
      <c r="C82" s="4" t="s">
        <v>50</v>
      </c>
      <c r="D82" s="4" t="s">
        <v>207</v>
      </c>
      <c r="E82" s="7"/>
      <c r="F82" s="5">
        <f>SUM(F83:F84)</f>
        <v>9266.2000000000007</v>
      </c>
      <c r="G82" s="5">
        <f>SUM(G83:G84)</f>
        <v>9266.2000000000007</v>
      </c>
    </row>
    <row r="83" spans="1:7" ht="25.5" x14ac:dyDescent="0.2">
      <c r="A83" s="14" t="s">
        <v>121</v>
      </c>
      <c r="B83" s="6" t="s">
        <v>18</v>
      </c>
      <c r="C83" s="6" t="s">
        <v>50</v>
      </c>
      <c r="D83" s="6" t="s">
        <v>207</v>
      </c>
      <c r="E83" s="6" t="s">
        <v>63</v>
      </c>
      <c r="F83" s="20">
        <v>7116.9</v>
      </c>
      <c r="G83" s="20">
        <v>7116.9</v>
      </c>
    </row>
    <row r="84" spans="1:7" s="39" customFormat="1" ht="38.25" x14ac:dyDescent="0.2">
      <c r="A84" s="14" t="s">
        <v>122</v>
      </c>
      <c r="B84" s="6" t="s">
        <v>18</v>
      </c>
      <c r="C84" s="6" t="s">
        <v>50</v>
      </c>
      <c r="D84" s="6" t="s">
        <v>207</v>
      </c>
      <c r="E84" s="6" t="s">
        <v>115</v>
      </c>
      <c r="F84" s="20">
        <v>2149.3000000000002</v>
      </c>
      <c r="G84" s="20">
        <v>2149.3000000000002</v>
      </c>
    </row>
    <row r="85" spans="1:7" s="39" customFormat="1" x14ac:dyDescent="0.2">
      <c r="A85" s="38" t="s">
        <v>401</v>
      </c>
      <c r="B85" s="11" t="s">
        <v>18</v>
      </c>
      <c r="C85" s="11" t="s">
        <v>50</v>
      </c>
      <c r="D85" s="11" t="s">
        <v>402</v>
      </c>
      <c r="E85" s="11"/>
      <c r="F85" s="50">
        <f>SUM(F86:F87)</f>
        <v>350</v>
      </c>
      <c r="G85" s="50">
        <f>SUM(G86:G87)</f>
        <v>350</v>
      </c>
    </row>
    <row r="86" spans="1:7" s="39" customFormat="1" ht="25.5" x14ac:dyDescent="0.2">
      <c r="A86" s="14" t="s">
        <v>64</v>
      </c>
      <c r="B86" s="6" t="s">
        <v>18</v>
      </c>
      <c r="C86" s="6" t="s">
        <v>50</v>
      </c>
      <c r="D86" s="6" t="s">
        <v>403</v>
      </c>
      <c r="E86" s="6" t="s">
        <v>65</v>
      </c>
      <c r="F86" s="20">
        <v>250</v>
      </c>
      <c r="G86" s="20">
        <v>250</v>
      </c>
    </row>
    <row r="87" spans="1:7" s="39" customFormat="1" ht="25.5" x14ac:dyDescent="0.2">
      <c r="A87" s="14" t="s">
        <v>66</v>
      </c>
      <c r="B87" s="6" t="s">
        <v>18</v>
      </c>
      <c r="C87" s="6" t="s">
        <v>50</v>
      </c>
      <c r="D87" s="6" t="s">
        <v>403</v>
      </c>
      <c r="E87" s="6" t="s">
        <v>67</v>
      </c>
      <c r="F87" s="20">
        <v>100</v>
      </c>
      <c r="G87" s="20">
        <v>100</v>
      </c>
    </row>
    <row r="88" spans="1:7" ht="38.25" x14ac:dyDescent="0.2">
      <c r="A88" s="30" t="s">
        <v>255</v>
      </c>
      <c r="B88" s="4" t="s">
        <v>18</v>
      </c>
      <c r="C88" s="4" t="s">
        <v>50</v>
      </c>
      <c r="D88" s="4" t="s">
        <v>309</v>
      </c>
      <c r="E88" s="4"/>
      <c r="F88" s="5">
        <f>F89</f>
        <v>800</v>
      </c>
      <c r="G88" s="5">
        <f>G89</f>
        <v>800</v>
      </c>
    </row>
    <row r="89" spans="1:7" ht="38.25" x14ac:dyDescent="0.2">
      <c r="A89" s="16" t="s">
        <v>150</v>
      </c>
      <c r="B89" s="4" t="s">
        <v>18</v>
      </c>
      <c r="C89" s="4" t="s">
        <v>50</v>
      </c>
      <c r="D89" s="4" t="s">
        <v>208</v>
      </c>
      <c r="E89" s="4"/>
      <c r="F89" s="5">
        <f>SUM(F90:F90)</f>
        <v>800</v>
      </c>
      <c r="G89" s="5">
        <f>SUM(G90:G90)</f>
        <v>800</v>
      </c>
    </row>
    <row r="90" spans="1:7" ht="25.5" x14ac:dyDescent="0.2">
      <c r="A90" s="14" t="s">
        <v>66</v>
      </c>
      <c r="B90" s="6" t="s">
        <v>18</v>
      </c>
      <c r="C90" s="6" t="s">
        <v>50</v>
      </c>
      <c r="D90" s="6" t="s">
        <v>208</v>
      </c>
      <c r="E90" s="6" t="s">
        <v>67</v>
      </c>
      <c r="F90" s="20">
        <v>800</v>
      </c>
      <c r="G90" s="20">
        <v>800</v>
      </c>
    </row>
    <row r="91" spans="1:7" ht="38.25" x14ac:dyDescent="0.2">
      <c r="A91" s="61" t="s">
        <v>459</v>
      </c>
      <c r="B91" s="11" t="s">
        <v>18</v>
      </c>
      <c r="C91" s="11" t="s">
        <v>50</v>
      </c>
      <c r="D91" s="11" t="s">
        <v>143</v>
      </c>
      <c r="E91" s="11"/>
      <c r="F91" s="50">
        <f t="shared" ref="F91:G93" si="5">F92</f>
        <v>135</v>
      </c>
      <c r="G91" s="50">
        <f t="shared" si="5"/>
        <v>135</v>
      </c>
    </row>
    <row r="92" spans="1:7" ht="38.25" x14ac:dyDescent="0.2">
      <c r="A92" s="24" t="s">
        <v>308</v>
      </c>
      <c r="B92" s="4" t="s">
        <v>18</v>
      </c>
      <c r="C92" s="4" t="s">
        <v>50</v>
      </c>
      <c r="D92" s="4" t="s">
        <v>245</v>
      </c>
      <c r="E92" s="4"/>
      <c r="F92" s="5">
        <f t="shared" si="5"/>
        <v>135</v>
      </c>
      <c r="G92" s="5">
        <f t="shared" si="5"/>
        <v>135</v>
      </c>
    </row>
    <row r="93" spans="1:7" s="39" customFormat="1" ht="25.5" x14ac:dyDescent="0.2">
      <c r="A93" s="16" t="s">
        <v>112</v>
      </c>
      <c r="B93" s="4" t="s">
        <v>18</v>
      </c>
      <c r="C93" s="4" t="s">
        <v>50</v>
      </c>
      <c r="D93" s="4" t="s">
        <v>246</v>
      </c>
      <c r="E93" s="7"/>
      <c r="F93" s="5">
        <f t="shared" si="5"/>
        <v>135</v>
      </c>
      <c r="G93" s="5">
        <f t="shared" si="5"/>
        <v>135</v>
      </c>
    </row>
    <row r="94" spans="1:7" ht="25.5" x14ac:dyDescent="0.2">
      <c r="A94" s="19" t="s">
        <v>112</v>
      </c>
      <c r="B94" s="6" t="s">
        <v>18</v>
      </c>
      <c r="C94" s="6" t="s">
        <v>50</v>
      </c>
      <c r="D94" s="6" t="s">
        <v>246</v>
      </c>
      <c r="E94" s="6" t="s">
        <v>67</v>
      </c>
      <c r="F94" s="20">
        <v>135</v>
      </c>
      <c r="G94" s="20">
        <v>135</v>
      </c>
    </row>
    <row r="95" spans="1:7" ht="27.75" customHeight="1" x14ac:dyDescent="0.2">
      <c r="A95" s="61" t="s">
        <v>465</v>
      </c>
      <c r="B95" s="11" t="s">
        <v>18</v>
      </c>
      <c r="C95" s="11" t="s">
        <v>50</v>
      </c>
      <c r="D95" s="11" t="s">
        <v>302</v>
      </c>
      <c r="E95" s="11"/>
      <c r="F95" s="50">
        <f t="shared" ref="F95:G97" si="6">F96</f>
        <v>265</v>
      </c>
      <c r="G95" s="50">
        <f t="shared" si="6"/>
        <v>265</v>
      </c>
    </row>
    <row r="96" spans="1:7" ht="25.5" x14ac:dyDescent="0.2">
      <c r="A96" s="24" t="s">
        <v>304</v>
      </c>
      <c r="B96" s="4" t="s">
        <v>18</v>
      </c>
      <c r="C96" s="4" t="s">
        <v>50</v>
      </c>
      <c r="D96" s="4" t="s">
        <v>303</v>
      </c>
      <c r="E96" s="4"/>
      <c r="F96" s="5">
        <f t="shared" si="6"/>
        <v>265</v>
      </c>
      <c r="G96" s="5">
        <f t="shared" si="6"/>
        <v>265</v>
      </c>
    </row>
    <row r="97" spans="1:7" s="39" customFormat="1" ht="25.5" x14ac:dyDescent="0.2">
      <c r="A97" s="16" t="s">
        <v>112</v>
      </c>
      <c r="B97" s="4" t="s">
        <v>18</v>
      </c>
      <c r="C97" s="4" t="s">
        <v>50</v>
      </c>
      <c r="D97" s="4" t="s">
        <v>1</v>
      </c>
      <c r="E97" s="4"/>
      <c r="F97" s="5">
        <f t="shared" si="6"/>
        <v>265</v>
      </c>
      <c r="G97" s="5">
        <f t="shared" si="6"/>
        <v>265</v>
      </c>
    </row>
    <row r="98" spans="1:7" ht="25.5" x14ac:dyDescent="0.2">
      <c r="A98" s="14" t="s">
        <v>66</v>
      </c>
      <c r="B98" s="6" t="s">
        <v>18</v>
      </c>
      <c r="C98" s="6" t="s">
        <v>50</v>
      </c>
      <c r="D98" s="6" t="s">
        <v>1</v>
      </c>
      <c r="E98" s="6" t="s">
        <v>67</v>
      </c>
      <c r="F98" s="20">
        <v>265</v>
      </c>
      <c r="G98" s="20">
        <v>265</v>
      </c>
    </row>
    <row r="99" spans="1:7" ht="24" customHeight="1" x14ac:dyDescent="0.2">
      <c r="A99" s="61" t="s">
        <v>466</v>
      </c>
      <c r="B99" s="11" t="s">
        <v>18</v>
      </c>
      <c r="C99" s="11" t="s">
        <v>50</v>
      </c>
      <c r="D99" s="11" t="s">
        <v>276</v>
      </c>
      <c r="E99" s="11"/>
      <c r="F99" s="50">
        <f t="shared" ref="F99:G101" si="7">F100</f>
        <v>250</v>
      </c>
      <c r="G99" s="50">
        <f t="shared" si="7"/>
        <v>250</v>
      </c>
    </row>
    <row r="100" spans="1:7" ht="25.5" x14ac:dyDescent="0.2">
      <c r="A100" s="71" t="s">
        <v>285</v>
      </c>
      <c r="B100" s="4" t="s">
        <v>18</v>
      </c>
      <c r="C100" s="4" t="s">
        <v>50</v>
      </c>
      <c r="D100" s="4" t="s">
        <v>277</v>
      </c>
      <c r="E100" s="4"/>
      <c r="F100" s="5">
        <f t="shared" si="7"/>
        <v>250</v>
      </c>
      <c r="G100" s="5">
        <f t="shared" si="7"/>
        <v>250</v>
      </c>
    </row>
    <row r="101" spans="1:7" s="39" customFormat="1" ht="25.5" x14ac:dyDescent="0.2">
      <c r="A101" s="16" t="s">
        <v>112</v>
      </c>
      <c r="B101" s="4" t="s">
        <v>18</v>
      </c>
      <c r="C101" s="4" t="s">
        <v>50</v>
      </c>
      <c r="D101" s="4" t="s">
        <v>278</v>
      </c>
      <c r="E101" s="4"/>
      <c r="F101" s="5">
        <f t="shared" si="7"/>
        <v>250</v>
      </c>
      <c r="G101" s="5">
        <f t="shared" si="7"/>
        <v>250</v>
      </c>
    </row>
    <row r="102" spans="1:7" ht="25.5" x14ac:dyDescent="0.2">
      <c r="A102" s="35" t="s">
        <v>66</v>
      </c>
      <c r="B102" s="6" t="s">
        <v>18</v>
      </c>
      <c r="C102" s="6" t="s">
        <v>50</v>
      </c>
      <c r="D102" s="6" t="s">
        <v>278</v>
      </c>
      <c r="E102" s="6" t="s">
        <v>67</v>
      </c>
      <c r="F102" s="20">
        <v>250</v>
      </c>
      <c r="G102" s="20">
        <v>250</v>
      </c>
    </row>
    <row r="103" spans="1:7" x14ac:dyDescent="0.2">
      <c r="A103" s="18" t="s">
        <v>105</v>
      </c>
      <c r="B103" s="11" t="s">
        <v>18</v>
      </c>
      <c r="C103" s="11" t="s">
        <v>50</v>
      </c>
      <c r="D103" s="11" t="s">
        <v>123</v>
      </c>
      <c r="E103" s="11"/>
      <c r="F103" s="50">
        <f>F104+F109+F115+F120+F126+F134</f>
        <v>71309.123789999998</v>
      </c>
      <c r="G103" s="50">
        <f>G104+G109+G115+G120+G126+G134</f>
        <v>69307.993789999993</v>
      </c>
    </row>
    <row r="104" spans="1:7" ht="25.5" x14ac:dyDescent="0.2">
      <c r="A104" s="24" t="s">
        <v>49</v>
      </c>
      <c r="B104" s="4" t="s">
        <v>18</v>
      </c>
      <c r="C104" s="4" t="s">
        <v>50</v>
      </c>
      <c r="D104" s="4" t="s">
        <v>134</v>
      </c>
      <c r="E104" s="4"/>
      <c r="F104" s="81">
        <f>SUM(F105:F108)</f>
        <v>412.2</v>
      </c>
      <c r="G104" s="81">
        <f>SUM(G105:G108)</f>
        <v>412.2</v>
      </c>
    </row>
    <row r="105" spans="1:7" ht="25.5" x14ac:dyDescent="0.2">
      <c r="A105" s="35" t="s">
        <v>121</v>
      </c>
      <c r="B105" s="6" t="s">
        <v>18</v>
      </c>
      <c r="C105" s="6" t="s">
        <v>50</v>
      </c>
      <c r="D105" s="6" t="s">
        <v>134</v>
      </c>
      <c r="E105" s="6" t="s">
        <v>63</v>
      </c>
      <c r="F105" s="80">
        <v>271.89999999999998</v>
      </c>
      <c r="G105" s="80">
        <v>271.89999999999998</v>
      </c>
    </row>
    <row r="106" spans="1:7" ht="38.25" x14ac:dyDescent="0.2">
      <c r="A106" s="35" t="s">
        <v>122</v>
      </c>
      <c r="B106" s="6" t="s">
        <v>18</v>
      </c>
      <c r="C106" s="6" t="s">
        <v>50</v>
      </c>
      <c r="D106" s="6" t="s">
        <v>134</v>
      </c>
      <c r="E106" s="6" t="s">
        <v>115</v>
      </c>
      <c r="F106" s="80">
        <v>82.1</v>
      </c>
      <c r="G106" s="80">
        <v>82.1</v>
      </c>
    </row>
    <row r="107" spans="1:7" ht="25.5" x14ac:dyDescent="0.2">
      <c r="A107" s="35" t="s">
        <v>64</v>
      </c>
      <c r="B107" s="6" t="s">
        <v>18</v>
      </c>
      <c r="C107" s="6" t="s">
        <v>50</v>
      </c>
      <c r="D107" s="6" t="s">
        <v>134</v>
      </c>
      <c r="E107" s="6" t="s">
        <v>65</v>
      </c>
      <c r="F107" s="80">
        <v>18</v>
      </c>
      <c r="G107" s="80">
        <v>18</v>
      </c>
    </row>
    <row r="108" spans="1:7" ht="25.5" x14ac:dyDescent="0.2">
      <c r="A108" s="35" t="s">
        <v>66</v>
      </c>
      <c r="B108" s="6" t="s">
        <v>18</v>
      </c>
      <c r="C108" s="6" t="s">
        <v>50</v>
      </c>
      <c r="D108" s="6" t="s">
        <v>134</v>
      </c>
      <c r="E108" s="6" t="s">
        <v>67</v>
      </c>
      <c r="F108" s="80">
        <v>40.200000000000003</v>
      </c>
      <c r="G108" s="80">
        <v>40.200000000000003</v>
      </c>
    </row>
    <row r="109" spans="1:7" ht="38.25" x14ac:dyDescent="0.2">
      <c r="A109" s="24" t="s">
        <v>40</v>
      </c>
      <c r="B109" s="4" t="s">
        <v>33</v>
      </c>
      <c r="C109" s="4" t="s">
        <v>50</v>
      </c>
      <c r="D109" s="4" t="s">
        <v>135</v>
      </c>
      <c r="E109" s="4"/>
      <c r="F109" s="81">
        <f>SUM(F110:F114)</f>
        <v>923.5</v>
      </c>
      <c r="G109" s="81">
        <f>SUM(G110:G114)</f>
        <v>923.5</v>
      </c>
    </row>
    <row r="110" spans="1:7" ht="25.5" x14ac:dyDescent="0.2">
      <c r="A110" s="35" t="s">
        <v>121</v>
      </c>
      <c r="B110" s="6" t="s">
        <v>18</v>
      </c>
      <c r="C110" s="6" t="s">
        <v>50</v>
      </c>
      <c r="D110" s="6" t="s">
        <v>135</v>
      </c>
      <c r="E110" s="6" t="s">
        <v>63</v>
      </c>
      <c r="F110" s="80">
        <v>603.70000000000005</v>
      </c>
      <c r="G110" s="80">
        <v>603.70000000000005</v>
      </c>
    </row>
    <row r="111" spans="1:7" ht="25.5" x14ac:dyDescent="0.2">
      <c r="A111" s="35" t="s">
        <v>398</v>
      </c>
      <c r="B111" s="6" t="s">
        <v>18</v>
      </c>
      <c r="C111" s="6" t="s">
        <v>50</v>
      </c>
      <c r="D111" s="6" t="s">
        <v>135</v>
      </c>
      <c r="E111" s="6" t="s">
        <v>397</v>
      </c>
      <c r="F111" s="80">
        <v>5</v>
      </c>
      <c r="G111" s="80">
        <v>5</v>
      </c>
    </row>
    <row r="112" spans="1:7" s="39" customFormat="1" ht="38.25" x14ac:dyDescent="0.2">
      <c r="A112" s="35" t="s">
        <v>122</v>
      </c>
      <c r="B112" s="6" t="s">
        <v>18</v>
      </c>
      <c r="C112" s="6" t="s">
        <v>50</v>
      </c>
      <c r="D112" s="6" t="s">
        <v>135</v>
      </c>
      <c r="E112" s="6" t="s">
        <v>115</v>
      </c>
      <c r="F112" s="80">
        <v>182.3</v>
      </c>
      <c r="G112" s="80">
        <v>182.3</v>
      </c>
    </row>
    <row r="113" spans="1:7" ht="25.5" x14ac:dyDescent="0.2">
      <c r="A113" s="35" t="s">
        <v>64</v>
      </c>
      <c r="B113" s="6" t="s">
        <v>18</v>
      </c>
      <c r="C113" s="6" t="s">
        <v>50</v>
      </c>
      <c r="D113" s="6" t="s">
        <v>135</v>
      </c>
      <c r="E113" s="6" t="s">
        <v>65</v>
      </c>
      <c r="F113" s="80">
        <v>36.5</v>
      </c>
      <c r="G113" s="80">
        <v>36.5</v>
      </c>
    </row>
    <row r="114" spans="1:7" ht="25.5" x14ac:dyDescent="0.2">
      <c r="A114" s="35" t="s">
        <v>66</v>
      </c>
      <c r="B114" s="6" t="s">
        <v>18</v>
      </c>
      <c r="C114" s="6" t="s">
        <v>50</v>
      </c>
      <c r="D114" s="6" t="s">
        <v>135</v>
      </c>
      <c r="E114" s="6" t="s">
        <v>67</v>
      </c>
      <c r="F114" s="80">
        <f>50+46</f>
        <v>96</v>
      </c>
      <c r="G114" s="80">
        <f>50+46</f>
        <v>96</v>
      </c>
    </row>
    <row r="115" spans="1:7" ht="38.25" x14ac:dyDescent="0.2">
      <c r="A115" s="30" t="s">
        <v>46</v>
      </c>
      <c r="B115" s="4" t="s">
        <v>18</v>
      </c>
      <c r="C115" s="4" t="s">
        <v>50</v>
      </c>
      <c r="D115" s="4" t="s">
        <v>136</v>
      </c>
      <c r="E115" s="4"/>
      <c r="F115" s="81">
        <f>SUM(F116:F119)</f>
        <v>600</v>
      </c>
      <c r="G115" s="81">
        <f>SUM(G116:G119)</f>
        <v>600</v>
      </c>
    </row>
    <row r="116" spans="1:7" ht="25.5" x14ac:dyDescent="0.2">
      <c r="A116" s="35" t="s">
        <v>121</v>
      </c>
      <c r="B116" s="6" t="s">
        <v>18</v>
      </c>
      <c r="C116" s="6" t="s">
        <v>50</v>
      </c>
      <c r="D116" s="6" t="s">
        <v>136</v>
      </c>
      <c r="E116" s="6" t="s">
        <v>63</v>
      </c>
      <c r="F116" s="80">
        <v>380.8</v>
      </c>
      <c r="G116" s="80">
        <v>380.8</v>
      </c>
    </row>
    <row r="117" spans="1:7" ht="38.25" x14ac:dyDescent="0.2">
      <c r="A117" s="35" t="s">
        <v>122</v>
      </c>
      <c r="B117" s="6" t="s">
        <v>18</v>
      </c>
      <c r="C117" s="6" t="s">
        <v>50</v>
      </c>
      <c r="D117" s="6" t="s">
        <v>136</v>
      </c>
      <c r="E117" s="6" t="s">
        <v>115</v>
      </c>
      <c r="F117" s="80">
        <v>114.99</v>
      </c>
      <c r="G117" s="80">
        <v>114.99</v>
      </c>
    </row>
    <row r="118" spans="1:7" ht="25.5" x14ac:dyDescent="0.2">
      <c r="A118" s="35" t="s">
        <v>64</v>
      </c>
      <c r="B118" s="6" t="s">
        <v>18</v>
      </c>
      <c r="C118" s="6" t="s">
        <v>50</v>
      </c>
      <c r="D118" s="6" t="s">
        <v>136</v>
      </c>
      <c r="E118" s="6" t="s">
        <v>65</v>
      </c>
      <c r="F118" s="80">
        <v>2.21</v>
      </c>
      <c r="G118" s="80">
        <v>2.21</v>
      </c>
    </row>
    <row r="119" spans="1:7" ht="25.5" x14ac:dyDescent="0.2">
      <c r="A119" s="35" t="s">
        <v>66</v>
      </c>
      <c r="B119" s="6" t="s">
        <v>18</v>
      </c>
      <c r="C119" s="6" t="s">
        <v>50</v>
      </c>
      <c r="D119" s="6" t="s">
        <v>136</v>
      </c>
      <c r="E119" s="6" t="s">
        <v>67</v>
      </c>
      <c r="F119" s="80">
        <v>102</v>
      </c>
      <c r="G119" s="80">
        <v>102</v>
      </c>
    </row>
    <row r="120" spans="1:7" ht="25.5" x14ac:dyDescent="0.2">
      <c r="A120" s="36" t="s">
        <v>102</v>
      </c>
      <c r="B120" s="11" t="s">
        <v>18</v>
      </c>
      <c r="C120" s="11" t="s">
        <v>50</v>
      </c>
      <c r="D120" s="11" t="s">
        <v>406</v>
      </c>
      <c r="E120" s="11"/>
      <c r="F120" s="50">
        <f>F121+F123</f>
        <v>11400.811100000001</v>
      </c>
      <c r="G120" s="50">
        <f>G121+G123</f>
        <v>11529.4161</v>
      </c>
    </row>
    <row r="121" spans="1:7" s="39" customFormat="1" ht="25.5" x14ac:dyDescent="0.2">
      <c r="A121" s="29" t="s">
        <v>248</v>
      </c>
      <c r="B121" s="4" t="s">
        <v>18</v>
      </c>
      <c r="C121" s="4" t="s">
        <v>50</v>
      </c>
      <c r="D121" s="4" t="s">
        <v>312</v>
      </c>
      <c r="E121" s="4"/>
      <c r="F121" s="5">
        <f>F122</f>
        <v>2592</v>
      </c>
      <c r="G121" s="5">
        <f>G122</f>
        <v>2592</v>
      </c>
    </row>
    <row r="122" spans="1:7" ht="51" x14ac:dyDescent="0.2">
      <c r="A122" s="57" t="s">
        <v>79</v>
      </c>
      <c r="B122" s="6" t="s">
        <v>18</v>
      </c>
      <c r="C122" s="6" t="s">
        <v>50</v>
      </c>
      <c r="D122" s="6" t="s">
        <v>312</v>
      </c>
      <c r="E122" s="6" t="s">
        <v>83</v>
      </c>
      <c r="F122" s="20">
        <f>1990.8+601.2</f>
        <v>2592</v>
      </c>
      <c r="G122" s="20">
        <f>1990.8+601.2</f>
        <v>2592</v>
      </c>
    </row>
    <row r="123" spans="1:7" s="39" customFormat="1" ht="25.5" x14ac:dyDescent="0.2">
      <c r="A123" s="29" t="s">
        <v>405</v>
      </c>
      <c r="B123" s="4" t="s">
        <v>18</v>
      </c>
      <c r="C123" s="4" t="s">
        <v>50</v>
      </c>
      <c r="D123" s="4" t="s">
        <v>404</v>
      </c>
      <c r="E123" s="4"/>
      <c r="F123" s="5">
        <f>SUM(F124:F125)</f>
        <v>8808.8111000000008</v>
      </c>
      <c r="G123" s="5">
        <f>SUM(G124:G125)</f>
        <v>8937.4161000000004</v>
      </c>
    </row>
    <row r="124" spans="1:7" s="39" customFormat="1" x14ac:dyDescent="0.2">
      <c r="A124" s="37" t="s">
        <v>213</v>
      </c>
      <c r="B124" s="6" t="s">
        <v>18</v>
      </c>
      <c r="C124" s="6" t="s">
        <v>50</v>
      </c>
      <c r="D124" s="6" t="s">
        <v>404</v>
      </c>
      <c r="E124" s="6" t="s">
        <v>95</v>
      </c>
      <c r="F124" s="20">
        <f>6876.8-111.2</f>
        <v>6765.6</v>
      </c>
      <c r="G124" s="20">
        <f>6876.8-12.4</f>
        <v>6864.4000000000005</v>
      </c>
    </row>
    <row r="125" spans="1:7" ht="38.25" x14ac:dyDescent="0.2">
      <c r="A125" s="14" t="s">
        <v>215</v>
      </c>
      <c r="B125" s="6" t="s">
        <v>18</v>
      </c>
      <c r="C125" s="6" t="s">
        <v>50</v>
      </c>
      <c r="D125" s="6" t="s">
        <v>404</v>
      </c>
      <c r="E125" s="6" t="s">
        <v>139</v>
      </c>
      <c r="F125" s="20">
        <f>2076.8-33.5889</f>
        <v>2043.2111000000002</v>
      </c>
      <c r="G125" s="20">
        <f>2076.8-3.7839</f>
        <v>2073.0161000000003</v>
      </c>
    </row>
    <row r="126" spans="1:7" ht="25.5" x14ac:dyDescent="0.2">
      <c r="A126" s="36" t="s">
        <v>102</v>
      </c>
      <c r="B126" s="11" t="s">
        <v>18</v>
      </c>
      <c r="C126" s="11" t="s">
        <v>50</v>
      </c>
      <c r="D126" s="11" t="s">
        <v>137</v>
      </c>
      <c r="E126" s="11"/>
      <c r="F126" s="50">
        <f>F127</f>
        <v>48363.312689999999</v>
      </c>
      <c r="G126" s="50">
        <f>G127</f>
        <v>46233.577689999998</v>
      </c>
    </row>
    <row r="127" spans="1:7" ht="25.5" x14ac:dyDescent="0.2">
      <c r="A127" s="29" t="s">
        <v>94</v>
      </c>
      <c r="B127" s="4" t="s">
        <v>18</v>
      </c>
      <c r="C127" s="4" t="s">
        <v>50</v>
      </c>
      <c r="D127" s="4" t="s">
        <v>138</v>
      </c>
      <c r="E127" s="4"/>
      <c r="F127" s="5">
        <f>SUM(F128:F133)</f>
        <v>48363.312689999999</v>
      </c>
      <c r="G127" s="5">
        <f>SUM(G128:G133)</f>
        <v>46233.577689999998</v>
      </c>
    </row>
    <row r="128" spans="1:7" x14ac:dyDescent="0.2">
      <c r="A128" s="37" t="s">
        <v>213</v>
      </c>
      <c r="B128" s="6" t="s">
        <v>18</v>
      </c>
      <c r="C128" s="6" t="s">
        <v>50</v>
      </c>
      <c r="D128" s="6" t="s">
        <v>138</v>
      </c>
      <c r="E128" s="6" t="s">
        <v>95</v>
      </c>
      <c r="F128" s="20">
        <v>21232.3</v>
      </c>
      <c r="G128" s="20">
        <v>21232.3</v>
      </c>
    </row>
    <row r="129" spans="1:7" ht="38.25" x14ac:dyDescent="0.2">
      <c r="A129" s="14" t="s">
        <v>215</v>
      </c>
      <c r="B129" s="6" t="s">
        <v>18</v>
      </c>
      <c r="C129" s="6" t="s">
        <v>50</v>
      </c>
      <c r="D129" s="6" t="s">
        <v>138</v>
      </c>
      <c r="E129" s="6" t="s">
        <v>139</v>
      </c>
      <c r="F129" s="20">
        <v>6412.2</v>
      </c>
      <c r="G129" s="20">
        <v>6412.2</v>
      </c>
    </row>
    <row r="130" spans="1:7" ht="25.5" x14ac:dyDescent="0.2">
      <c r="A130" s="35" t="s">
        <v>66</v>
      </c>
      <c r="B130" s="6" t="s">
        <v>18</v>
      </c>
      <c r="C130" s="6" t="s">
        <v>50</v>
      </c>
      <c r="D130" s="6" t="s">
        <v>138</v>
      </c>
      <c r="E130" s="6" t="s">
        <v>67</v>
      </c>
      <c r="F130" s="20">
        <v>1100</v>
      </c>
      <c r="G130" s="20">
        <v>1100</v>
      </c>
    </row>
    <row r="131" spans="1:7" x14ac:dyDescent="0.2">
      <c r="A131" s="35" t="s">
        <v>331</v>
      </c>
      <c r="B131" s="6" t="s">
        <v>18</v>
      </c>
      <c r="C131" s="6" t="s">
        <v>50</v>
      </c>
      <c r="D131" s="6" t="s">
        <v>138</v>
      </c>
      <c r="E131" s="6" t="s">
        <v>330</v>
      </c>
      <c r="F131" s="20">
        <v>17029.71269</v>
      </c>
      <c r="G131" s="20">
        <v>14899.97769</v>
      </c>
    </row>
    <row r="132" spans="1:7" ht="25.5" x14ac:dyDescent="0.2">
      <c r="A132" s="14" t="s">
        <v>68</v>
      </c>
      <c r="B132" s="6" t="s">
        <v>18</v>
      </c>
      <c r="C132" s="6" t="s">
        <v>50</v>
      </c>
      <c r="D132" s="6" t="s">
        <v>138</v>
      </c>
      <c r="E132" s="6" t="s">
        <v>69</v>
      </c>
      <c r="F132" s="20">
        <v>2550</v>
      </c>
      <c r="G132" s="20">
        <v>2550</v>
      </c>
    </row>
    <row r="133" spans="1:7" x14ac:dyDescent="0.2">
      <c r="A133" s="14" t="s">
        <v>140</v>
      </c>
      <c r="B133" s="6" t="s">
        <v>18</v>
      </c>
      <c r="C133" s="6" t="s">
        <v>50</v>
      </c>
      <c r="D133" s="6" t="s">
        <v>138</v>
      </c>
      <c r="E133" s="6" t="s">
        <v>70</v>
      </c>
      <c r="F133" s="20">
        <v>39.1</v>
      </c>
      <c r="G133" s="20">
        <v>39.1</v>
      </c>
    </row>
    <row r="134" spans="1:7" ht="63.75" x14ac:dyDescent="0.2">
      <c r="A134" s="24" t="s">
        <v>343</v>
      </c>
      <c r="B134" s="4" t="s">
        <v>18</v>
      </c>
      <c r="C134" s="4" t="s">
        <v>50</v>
      </c>
      <c r="D134" s="4" t="s">
        <v>445</v>
      </c>
      <c r="E134" s="4"/>
      <c r="F134" s="5">
        <f>F135</f>
        <v>9609.2999999999993</v>
      </c>
      <c r="G134" s="5">
        <f>G135</f>
        <v>9609.2999999999993</v>
      </c>
    </row>
    <row r="135" spans="1:7" ht="28.5" customHeight="1" x14ac:dyDescent="0.2">
      <c r="A135" s="35" t="s">
        <v>306</v>
      </c>
      <c r="B135" s="6" t="s">
        <v>18</v>
      </c>
      <c r="C135" s="6" t="s">
        <v>50</v>
      </c>
      <c r="D135" s="6" t="s">
        <v>445</v>
      </c>
      <c r="E135" s="6" t="s">
        <v>305</v>
      </c>
      <c r="F135" s="80">
        <f>9321+288.3</f>
        <v>9609.2999999999993</v>
      </c>
      <c r="G135" s="80">
        <f>9321+288.3</f>
        <v>9609.2999999999993</v>
      </c>
    </row>
    <row r="136" spans="1:7" ht="25.5" x14ac:dyDescent="0.2">
      <c r="A136" s="21" t="s">
        <v>91</v>
      </c>
      <c r="B136" s="10" t="s">
        <v>32</v>
      </c>
      <c r="C136" s="10"/>
      <c r="D136" s="51"/>
      <c r="E136" s="51"/>
      <c r="F136" s="48">
        <f t="shared" ref="F136:G138" si="8">F137</f>
        <v>1500</v>
      </c>
      <c r="G136" s="48">
        <f t="shared" si="8"/>
        <v>1500</v>
      </c>
    </row>
    <row r="137" spans="1:7" ht="37.5" customHeight="1" x14ac:dyDescent="0.2">
      <c r="A137" s="23" t="s">
        <v>317</v>
      </c>
      <c r="B137" s="9" t="s">
        <v>32</v>
      </c>
      <c r="C137" s="9" t="s">
        <v>26</v>
      </c>
      <c r="D137" s="9"/>
      <c r="E137" s="9"/>
      <c r="F137" s="49">
        <f t="shared" si="8"/>
        <v>1500</v>
      </c>
      <c r="G137" s="49">
        <f t="shared" si="8"/>
        <v>1500</v>
      </c>
    </row>
    <row r="138" spans="1:7" ht="63.75" x14ac:dyDescent="0.2">
      <c r="A138" s="38" t="s">
        <v>469</v>
      </c>
      <c r="B138" s="11" t="s">
        <v>32</v>
      </c>
      <c r="C138" s="11" t="s">
        <v>26</v>
      </c>
      <c r="D138" s="11" t="s">
        <v>318</v>
      </c>
      <c r="E138" s="11"/>
      <c r="F138" s="50">
        <f t="shared" si="8"/>
        <v>1500</v>
      </c>
      <c r="G138" s="50">
        <f t="shared" si="8"/>
        <v>1500</v>
      </c>
    </row>
    <row r="139" spans="1:7" ht="38.25" x14ac:dyDescent="0.2">
      <c r="A139" s="22" t="s">
        <v>321</v>
      </c>
      <c r="B139" s="4" t="s">
        <v>32</v>
      </c>
      <c r="C139" s="4" t="s">
        <v>26</v>
      </c>
      <c r="D139" s="4" t="s">
        <v>319</v>
      </c>
      <c r="E139" s="4"/>
      <c r="F139" s="5">
        <f>F140</f>
        <v>1500</v>
      </c>
      <c r="G139" s="5">
        <f>G140</f>
        <v>1500</v>
      </c>
    </row>
    <row r="140" spans="1:7" ht="25.5" x14ac:dyDescent="0.2">
      <c r="A140" s="77" t="s">
        <v>322</v>
      </c>
      <c r="B140" s="4" t="s">
        <v>32</v>
      </c>
      <c r="C140" s="4" t="s">
        <v>26</v>
      </c>
      <c r="D140" s="4" t="s">
        <v>320</v>
      </c>
      <c r="E140" s="4"/>
      <c r="F140" s="5">
        <f>F141</f>
        <v>1500</v>
      </c>
      <c r="G140" s="5">
        <f>G141</f>
        <v>1500</v>
      </c>
    </row>
    <row r="141" spans="1:7" ht="25.5" x14ac:dyDescent="0.2">
      <c r="A141" s="14" t="s">
        <v>66</v>
      </c>
      <c r="B141" s="6" t="s">
        <v>32</v>
      </c>
      <c r="C141" s="6" t="s">
        <v>26</v>
      </c>
      <c r="D141" s="6" t="s">
        <v>320</v>
      </c>
      <c r="E141" s="6" t="s">
        <v>67</v>
      </c>
      <c r="F141" s="20">
        <v>1500</v>
      </c>
      <c r="G141" s="20">
        <v>1500</v>
      </c>
    </row>
    <row r="142" spans="1:7" s="39" customFormat="1" x14ac:dyDescent="0.2">
      <c r="A142" s="21" t="s">
        <v>75</v>
      </c>
      <c r="B142" s="10" t="s">
        <v>20</v>
      </c>
      <c r="C142" s="10"/>
      <c r="D142" s="10"/>
      <c r="E142" s="10"/>
      <c r="F142" s="48">
        <f>F168+F179+F143</f>
        <v>119161.21633</v>
      </c>
      <c r="G142" s="48">
        <f>G168+G179+G143</f>
        <v>129571.49868</v>
      </c>
    </row>
    <row r="143" spans="1:7" s="39" customFormat="1" x14ac:dyDescent="0.2">
      <c r="A143" s="23" t="s">
        <v>11</v>
      </c>
      <c r="B143" s="9" t="s">
        <v>20</v>
      </c>
      <c r="C143" s="9" t="s">
        <v>22</v>
      </c>
      <c r="D143" s="23"/>
      <c r="E143" s="23"/>
      <c r="F143" s="49">
        <f>F148+F144</f>
        <v>5632.5966800000006</v>
      </c>
      <c r="G143" s="49">
        <f>G148+G144</f>
        <v>5632.5966800000006</v>
      </c>
    </row>
    <row r="144" spans="1:7" ht="38.25" x14ac:dyDescent="0.2">
      <c r="A144" s="38" t="s">
        <v>460</v>
      </c>
      <c r="B144" s="11" t="s">
        <v>20</v>
      </c>
      <c r="C144" s="11" t="s">
        <v>22</v>
      </c>
      <c r="D144" s="11" t="s">
        <v>314</v>
      </c>
      <c r="E144" s="11"/>
      <c r="F144" s="50">
        <f t="shared" ref="F144:G146" si="9">F145</f>
        <v>100</v>
      </c>
      <c r="G144" s="50">
        <f t="shared" si="9"/>
        <v>100</v>
      </c>
    </row>
    <row r="145" spans="1:7" ht="38.25" x14ac:dyDescent="0.2">
      <c r="A145" s="16" t="s">
        <v>0</v>
      </c>
      <c r="B145" s="4" t="s">
        <v>20</v>
      </c>
      <c r="C145" s="4" t="s">
        <v>22</v>
      </c>
      <c r="D145" s="94" t="s">
        <v>364</v>
      </c>
      <c r="E145" s="4"/>
      <c r="F145" s="5">
        <f t="shared" si="9"/>
        <v>100</v>
      </c>
      <c r="G145" s="5">
        <f t="shared" si="9"/>
        <v>100</v>
      </c>
    </row>
    <row r="146" spans="1:7" ht="25.5" x14ac:dyDescent="0.2">
      <c r="A146" s="16" t="s">
        <v>112</v>
      </c>
      <c r="B146" s="4" t="s">
        <v>20</v>
      </c>
      <c r="C146" s="4" t="s">
        <v>22</v>
      </c>
      <c r="D146" s="94" t="s">
        <v>365</v>
      </c>
      <c r="E146" s="4"/>
      <c r="F146" s="5">
        <f t="shared" si="9"/>
        <v>100</v>
      </c>
      <c r="G146" s="5">
        <f t="shared" si="9"/>
        <v>100</v>
      </c>
    </row>
    <row r="147" spans="1:7" ht="25.5" x14ac:dyDescent="0.2">
      <c r="A147" s="14" t="s">
        <v>66</v>
      </c>
      <c r="B147" s="6" t="s">
        <v>20</v>
      </c>
      <c r="C147" s="6" t="s">
        <v>22</v>
      </c>
      <c r="D147" s="89" t="s">
        <v>365</v>
      </c>
      <c r="E147" s="6" t="s">
        <v>67</v>
      </c>
      <c r="F147" s="20">
        <v>100</v>
      </c>
      <c r="G147" s="20">
        <v>100</v>
      </c>
    </row>
    <row r="148" spans="1:7" s="39" customFormat="1" x14ac:dyDescent="0.2">
      <c r="A148" s="38" t="s">
        <v>105</v>
      </c>
      <c r="B148" s="11" t="s">
        <v>20</v>
      </c>
      <c r="C148" s="11" t="s">
        <v>22</v>
      </c>
      <c r="D148" s="11" t="s">
        <v>123</v>
      </c>
      <c r="E148" s="38"/>
      <c r="F148" s="70">
        <f>F149+F151+F154+F156+F159+F161+F164</f>
        <v>5532.5966800000006</v>
      </c>
      <c r="G148" s="70">
        <f>G149+G151+G154+G156+G159+G161+G164</f>
        <v>5532.5966800000006</v>
      </c>
    </row>
    <row r="149" spans="1:7" ht="25.5" x14ac:dyDescent="0.2">
      <c r="A149" s="30" t="s">
        <v>60</v>
      </c>
      <c r="B149" s="4" t="s">
        <v>20</v>
      </c>
      <c r="C149" s="4" t="s">
        <v>22</v>
      </c>
      <c r="D149" s="4" t="s">
        <v>144</v>
      </c>
      <c r="E149" s="4"/>
      <c r="F149" s="81">
        <f>F150</f>
        <v>136</v>
      </c>
      <c r="G149" s="81">
        <f>G150</f>
        <v>136</v>
      </c>
    </row>
    <row r="150" spans="1:7" ht="51" x14ac:dyDescent="0.2">
      <c r="A150" s="19" t="s">
        <v>324</v>
      </c>
      <c r="B150" s="6" t="s">
        <v>20</v>
      </c>
      <c r="C150" s="6" t="s">
        <v>22</v>
      </c>
      <c r="D150" s="6" t="s">
        <v>144</v>
      </c>
      <c r="E150" s="6" t="s">
        <v>323</v>
      </c>
      <c r="F150" s="80">
        <v>136</v>
      </c>
      <c r="G150" s="80">
        <v>136</v>
      </c>
    </row>
    <row r="151" spans="1:7" ht="51" x14ac:dyDescent="0.2">
      <c r="A151" s="28" t="s">
        <v>100</v>
      </c>
      <c r="B151" s="4" t="s">
        <v>20</v>
      </c>
      <c r="C151" s="4" t="s">
        <v>22</v>
      </c>
      <c r="D151" s="4" t="s">
        <v>145</v>
      </c>
      <c r="E151" s="4"/>
      <c r="F151" s="81">
        <f>F152+F153</f>
        <v>1.75</v>
      </c>
      <c r="G151" s="81">
        <f>G152+G153</f>
        <v>1.75</v>
      </c>
    </row>
    <row r="152" spans="1:7" ht="25.5" x14ac:dyDescent="0.2">
      <c r="A152" s="35" t="s">
        <v>121</v>
      </c>
      <c r="B152" s="6" t="s">
        <v>20</v>
      </c>
      <c r="C152" s="6" t="s">
        <v>22</v>
      </c>
      <c r="D152" s="6" t="s">
        <v>145</v>
      </c>
      <c r="E152" s="6" t="s">
        <v>63</v>
      </c>
      <c r="F152" s="80">
        <v>1.3440000000000001</v>
      </c>
      <c r="G152" s="80">
        <v>1.3440000000000001</v>
      </c>
    </row>
    <row r="153" spans="1:7" ht="38.25" x14ac:dyDescent="0.2">
      <c r="A153" s="35" t="s">
        <v>122</v>
      </c>
      <c r="B153" s="6" t="s">
        <v>20</v>
      </c>
      <c r="C153" s="6" t="s">
        <v>22</v>
      </c>
      <c r="D153" s="6" t="s">
        <v>145</v>
      </c>
      <c r="E153" s="6" t="s">
        <v>115</v>
      </c>
      <c r="F153" s="80">
        <v>0.40600000000000003</v>
      </c>
      <c r="G153" s="80">
        <v>0.40600000000000003</v>
      </c>
    </row>
    <row r="154" spans="1:7" ht="51" x14ac:dyDescent="0.2">
      <c r="A154" s="30" t="s">
        <v>250</v>
      </c>
      <c r="B154" s="4" t="s">
        <v>20</v>
      </c>
      <c r="C154" s="4" t="s">
        <v>22</v>
      </c>
      <c r="D154" s="4" t="s">
        <v>251</v>
      </c>
      <c r="E154" s="4"/>
      <c r="F154" s="81">
        <f>F155</f>
        <v>151.5</v>
      </c>
      <c r="G154" s="81">
        <f>G155</f>
        <v>151.5</v>
      </c>
    </row>
    <row r="155" spans="1:7" ht="28.5" customHeight="1" x14ac:dyDescent="0.2">
      <c r="A155" s="35" t="s">
        <v>306</v>
      </c>
      <c r="B155" s="6" t="s">
        <v>20</v>
      </c>
      <c r="C155" s="6" t="s">
        <v>22</v>
      </c>
      <c r="D155" s="6" t="s">
        <v>251</v>
      </c>
      <c r="E155" s="6" t="s">
        <v>305</v>
      </c>
      <c r="F155" s="80">
        <v>151.5</v>
      </c>
      <c r="G155" s="80">
        <v>151.5</v>
      </c>
    </row>
    <row r="156" spans="1:7" s="39" customFormat="1" ht="51" x14ac:dyDescent="0.2">
      <c r="A156" s="29" t="s">
        <v>226</v>
      </c>
      <c r="B156" s="4" t="s">
        <v>20</v>
      </c>
      <c r="C156" s="4" t="s">
        <v>22</v>
      </c>
      <c r="D156" s="4" t="s">
        <v>239</v>
      </c>
      <c r="E156" s="4"/>
      <c r="F156" s="81">
        <f>SUM(F157:F158)</f>
        <v>22.401679999999999</v>
      </c>
      <c r="G156" s="81">
        <f>SUM(G157:G158)</f>
        <v>22.401679999999999</v>
      </c>
    </row>
    <row r="157" spans="1:7" s="39" customFormat="1" x14ac:dyDescent="0.2">
      <c r="A157" s="37" t="s">
        <v>213</v>
      </c>
      <c r="B157" s="6" t="s">
        <v>20</v>
      </c>
      <c r="C157" s="6" t="s">
        <v>22</v>
      </c>
      <c r="D157" s="6" t="s">
        <v>239</v>
      </c>
      <c r="E157" s="6" t="s">
        <v>95</v>
      </c>
      <c r="F157" s="80">
        <v>17.2056</v>
      </c>
      <c r="G157" s="80">
        <v>17.2056</v>
      </c>
    </row>
    <row r="158" spans="1:7" s="39" customFormat="1" ht="25.5" x14ac:dyDescent="0.2">
      <c r="A158" s="35" t="s">
        <v>211</v>
      </c>
      <c r="B158" s="6" t="s">
        <v>20</v>
      </c>
      <c r="C158" s="6" t="s">
        <v>22</v>
      </c>
      <c r="D158" s="6" t="s">
        <v>239</v>
      </c>
      <c r="E158" s="6" t="s">
        <v>139</v>
      </c>
      <c r="F158" s="80">
        <v>5.1960800000000003</v>
      </c>
      <c r="G158" s="80">
        <v>5.1960800000000003</v>
      </c>
    </row>
    <row r="159" spans="1:7" s="39" customFormat="1" ht="51" x14ac:dyDescent="0.2">
      <c r="A159" s="30" t="s">
        <v>225</v>
      </c>
      <c r="B159" s="4" t="s">
        <v>20</v>
      </c>
      <c r="C159" s="4" t="s">
        <v>22</v>
      </c>
      <c r="D159" s="4" t="s">
        <v>238</v>
      </c>
      <c r="E159" s="4"/>
      <c r="F159" s="81">
        <f>F160</f>
        <v>1493.4449999999999</v>
      </c>
      <c r="G159" s="81">
        <f>G160</f>
        <v>1493.4449999999999</v>
      </c>
    </row>
    <row r="160" spans="1:7" s="39" customFormat="1" ht="25.5" x14ac:dyDescent="0.2">
      <c r="A160" s="35" t="s">
        <v>66</v>
      </c>
      <c r="B160" s="6" t="s">
        <v>20</v>
      </c>
      <c r="C160" s="6" t="s">
        <v>22</v>
      </c>
      <c r="D160" s="6" t="s">
        <v>238</v>
      </c>
      <c r="E160" s="6" t="s">
        <v>67</v>
      </c>
      <c r="F160" s="80">
        <v>1493.4449999999999</v>
      </c>
      <c r="G160" s="80">
        <v>1493.4449999999999</v>
      </c>
    </row>
    <row r="161" spans="1:7" ht="51" x14ac:dyDescent="0.2">
      <c r="A161" s="30" t="s">
        <v>252</v>
      </c>
      <c r="B161" s="4" t="s">
        <v>20</v>
      </c>
      <c r="C161" s="4" t="s">
        <v>22</v>
      </c>
      <c r="D161" s="4" t="s">
        <v>253</v>
      </c>
      <c r="E161" s="4"/>
      <c r="F161" s="81">
        <f>F162+F163</f>
        <v>22.7</v>
      </c>
      <c r="G161" s="81">
        <f>G162+G163</f>
        <v>22.7</v>
      </c>
    </row>
    <row r="162" spans="1:7" x14ac:dyDescent="0.2">
      <c r="A162" s="37" t="s">
        <v>213</v>
      </c>
      <c r="B162" s="6" t="s">
        <v>20</v>
      </c>
      <c r="C162" s="6" t="s">
        <v>22</v>
      </c>
      <c r="D162" s="6" t="s">
        <v>253</v>
      </c>
      <c r="E162" s="6" t="s">
        <v>95</v>
      </c>
      <c r="F162" s="80">
        <v>17.399999999999999</v>
      </c>
      <c r="G162" s="80">
        <v>17.399999999999999</v>
      </c>
    </row>
    <row r="163" spans="1:7" ht="38.25" x14ac:dyDescent="0.2">
      <c r="A163" s="14" t="s">
        <v>215</v>
      </c>
      <c r="B163" s="6" t="s">
        <v>20</v>
      </c>
      <c r="C163" s="6" t="s">
        <v>22</v>
      </c>
      <c r="D163" s="6" t="s">
        <v>253</v>
      </c>
      <c r="E163" s="6" t="s">
        <v>139</v>
      </c>
      <c r="F163" s="80">
        <v>5.3</v>
      </c>
      <c r="G163" s="80">
        <v>5.3</v>
      </c>
    </row>
    <row r="164" spans="1:7" ht="25.5" x14ac:dyDescent="0.2">
      <c r="A164" s="36" t="s">
        <v>102</v>
      </c>
      <c r="B164" s="11" t="s">
        <v>20</v>
      </c>
      <c r="C164" s="11" t="s">
        <v>22</v>
      </c>
      <c r="D164" s="11" t="s">
        <v>137</v>
      </c>
      <c r="E164" s="11"/>
      <c r="F164" s="50">
        <f>F165</f>
        <v>3704.8</v>
      </c>
      <c r="G164" s="50">
        <f>G165</f>
        <v>3704.8</v>
      </c>
    </row>
    <row r="165" spans="1:7" ht="25.5" x14ac:dyDescent="0.2">
      <c r="A165" s="29" t="s">
        <v>2</v>
      </c>
      <c r="B165" s="4" t="s">
        <v>20</v>
      </c>
      <c r="C165" s="4" t="s">
        <v>22</v>
      </c>
      <c r="D165" s="4" t="s">
        <v>3</v>
      </c>
      <c r="E165" s="4"/>
      <c r="F165" s="5">
        <f>SUM(F166:F167)</f>
        <v>3704.8</v>
      </c>
      <c r="G165" s="5">
        <f>SUM(G166:G167)</f>
        <v>3704.8</v>
      </c>
    </row>
    <row r="166" spans="1:7" x14ac:dyDescent="0.2">
      <c r="A166" s="37" t="s">
        <v>213</v>
      </c>
      <c r="B166" s="6" t="s">
        <v>20</v>
      </c>
      <c r="C166" s="6" t="s">
        <v>22</v>
      </c>
      <c r="D166" s="6" t="s">
        <v>3</v>
      </c>
      <c r="E166" s="6" t="s">
        <v>95</v>
      </c>
      <c r="F166" s="20">
        <v>2845.5</v>
      </c>
      <c r="G166" s="20">
        <v>2845.5</v>
      </c>
    </row>
    <row r="167" spans="1:7" ht="38.25" x14ac:dyDescent="0.2">
      <c r="A167" s="14" t="s">
        <v>215</v>
      </c>
      <c r="B167" s="6" t="s">
        <v>20</v>
      </c>
      <c r="C167" s="6" t="s">
        <v>22</v>
      </c>
      <c r="D167" s="6" t="s">
        <v>3</v>
      </c>
      <c r="E167" s="6" t="s">
        <v>139</v>
      </c>
      <c r="F167" s="20">
        <v>859.3</v>
      </c>
      <c r="G167" s="20">
        <v>859.3</v>
      </c>
    </row>
    <row r="168" spans="1:7" x14ac:dyDescent="0.2">
      <c r="A168" s="23" t="s">
        <v>51</v>
      </c>
      <c r="B168" s="9" t="s">
        <v>45</v>
      </c>
      <c r="C168" s="9" t="s">
        <v>23</v>
      </c>
      <c r="D168" s="9"/>
      <c r="E168" s="9"/>
      <c r="F168" s="49">
        <f>F169+F176</f>
        <v>112913.11964999999</v>
      </c>
      <c r="G168" s="49">
        <f>G169+G176</f>
        <v>123323.402</v>
      </c>
    </row>
    <row r="169" spans="1:7" ht="51" x14ac:dyDescent="0.2">
      <c r="A169" s="38" t="s">
        <v>458</v>
      </c>
      <c r="B169" s="11" t="s">
        <v>20</v>
      </c>
      <c r="C169" s="11" t="s">
        <v>23</v>
      </c>
      <c r="D169" s="11" t="s">
        <v>141</v>
      </c>
      <c r="E169" s="11"/>
      <c r="F169" s="50">
        <f>F170</f>
        <v>19192.399999999998</v>
      </c>
      <c r="G169" s="50">
        <f t="shared" ref="G169:G170" si="10">G170</f>
        <v>19192.400000000001</v>
      </c>
    </row>
    <row r="170" spans="1:7" ht="27" x14ac:dyDescent="0.25">
      <c r="A170" s="63" t="s">
        <v>474</v>
      </c>
      <c r="B170" s="7" t="s">
        <v>20</v>
      </c>
      <c r="C170" s="7" t="s">
        <v>23</v>
      </c>
      <c r="D170" s="7" t="s">
        <v>369</v>
      </c>
      <c r="E170" s="7"/>
      <c r="F170" s="42">
        <f>F171</f>
        <v>19192.399999999998</v>
      </c>
      <c r="G170" s="42">
        <f t="shared" si="10"/>
        <v>19192.400000000001</v>
      </c>
    </row>
    <row r="171" spans="1:7" ht="25.5" x14ac:dyDescent="0.2">
      <c r="A171" s="16" t="s">
        <v>367</v>
      </c>
      <c r="B171" s="4" t="s">
        <v>20</v>
      </c>
      <c r="C171" s="4" t="s">
        <v>23</v>
      </c>
      <c r="D171" s="4" t="s">
        <v>370</v>
      </c>
      <c r="E171" s="4"/>
      <c r="F171" s="5">
        <f>F172+F174</f>
        <v>19192.399999999998</v>
      </c>
      <c r="G171" s="5">
        <f>G172+G174</f>
        <v>19192.400000000001</v>
      </c>
    </row>
    <row r="172" spans="1:7" s="39" customFormat="1" ht="25.5" x14ac:dyDescent="0.2">
      <c r="A172" s="16" t="s">
        <v>368</v>
      </c>
      <c r="B172" s="4" t="s">
        <v>20</v>
      </c>
      <c r="C172" s="4" t="s">
        <v>23</v>
      </c>
      <c r="D172" s="4" t="s">
        <v>366</v>
      </c>
      <c r="E172" s="4"/>
      <c r="F172" s="81">
        <f>SUM(F173:F173)</f>
        <v>17720.439999999999</v>
      </c>
      <c r="G172" s="81">
        <f>SUM(G173:G173)</f>
        <v>17720.440000000002</v>
      </c>
    </row>
    <row r="173" spans="1:7" x14ac:dyDescent="0.2">
      <c r="A173" s="25" t="s">
        <v>114</v>
      </c>
      <c r="B173" s="6" t="s">
        <v>20</v>
      </c>
      <c r="C173" s="6" t="s">
        <v>23</v>
      </c>
      <c r="D173" s="6" t="s">
        <v>366</v>
      </c>
      <c r="E173" s="6" t="s">
        <v>74</v>
      </c>
      <c r="F173" s="80">
        <f>14908.81835+2811.62165</f>
        <v>17720.439999999999</v>
      </c>
      <c r="G173" s="80">
        <f>14599.54+3120.9</f>
        <v>17720.440000000002</v>
      </c>
    </row>
    <row r="174" spans="1:7" s="65" customFormat="1" ht="25.5" x14ac:dyDescent="0.25">
      <c r="A174" s="99" t="s">
        <v>333</v>
      </c>
      <c r="B174" s="94" t="s">
        <v>20</v>
      </c>
      <c r="C174" s="94" t="s">
        <v>23</v>
      </c>
      <c r="D174" s="94" t="s">
        <v>407</v>
      </c>
      <c r="E174" s="94"/>
      <c r="F174" s="81">
        <f>SUM(F175:F175)</f>
        <v>1471.96</v>
      </c>
      <c r="G174" s="81">
        <f>SUM(G175:G175)</f>
        <v>1471.96</v>
      </c>
    </row>
    <row r="175" spans="1:7" x14ac:dyDescent="0.2">
      <c r="A175" s="14" t="s">
        <v>114</v>
      </c>
      <c r="B175" s="89" t="s">
        <v>20</v>
      </c>
      <c r="C175" s="89" t="s">
        <v>23</v>
      </c>
      <c r="D175" s="89" t="s">
        <v>407</v>
      </c>
      <c r="E175" s="89" t="s">
        <v>74</v>
      </c>
      <c r="F175" s="80">
        <f>1427.8+44.16</f>
        <v>1471.96</v>
      </c>
      <c r="G175" s="80">
        <f>1427.8+44.16</f>
        <v>1471.96</v>
      </c>
    </row>
    <row r="176" spans="1:7" s="39" customFormat="1" x14ac:dyDescent="0.2">
      <c r="A176" s="38" t="s">
        <v>105</v>
      </c>
      <c r="B176" s="11" t="s">
        <v>20</v>
      </c>
      <c r="C176" s="11" t="s">
        <v>23</v>
      </c>
      <c r="D176" s="11" t="s">
        <v>123</v>
      </c>
      <c r="E176" s="11"/>
      <c r="F176" s="82">
        <f>F177</f>
        <v>93720.719649999999</v>
      </c>
      <c r="G176" s="82">
        <f>G177</f>
        <v>104131.00199999999</v>
      </c>
    </row>
    <row r="177" spans="1:7" ht="63.75" x14ac:dyDescent="0.2">
      <c r="A177" s="98" t="s">
        <v>334</v>
      </c>
      <c r="B177" s="94" t="s">
        <v>20</v>
      </c>
      <c r="C177" s="94" t="s">
        <v>23</v>
      </c>
      <c r="D177" s="4" t="s">
        <v>455</v>
      </c>
      <c r="E177" s="94"/>
      <c r="F177" s="81">
        <f>F178</f>
        <v>93720.719649999999</v>
      </c>
      <c r="G177" s="81">
        <f>G178</f>
        <v>104131.00199999999</v>
      </c>
    </row>
    <row r="178" spans="1:7" s="65" customFormat="1" ht="13.5" x14ac:dyDescent="0.25">
      <c r="A178" s="14" t="s">
        <v>114</v>
      </c>
      <c r="B178" s="89" t="s">
        <v>20</v>
      </c>
      <c r="C178" s="89" t="s">
        <v>23</v>
      </c>
      <c r="D178" s="6" t="s">
        <v>455</v>
      </c>
      <c r="E178" s="89" t="s">
        <v>74</v>
      </c>
      <c r="F178" s="80">
        <v>93720.719649999999</v>
      </c>
      <c r="G178" s="80">
        <v>104131.00199999999</v>
      </c>
    </row>
    <row r="179" spans="1:7" x14ac:dyDescent="0.2">
      <c r="A179" s="23" t="s">
        <v>57</v>
      </c>
      <c r="B179" s="9" t="s">
        <v>20</v>
      </c>
      <c r="C179" s="9" t="s">
        <v>37</v>
      </c>
      <c r="D179" s="9"/>
      <c r="E179" s="9"/>
      <c r="F179" s="49">
        <f>F192+F180+F184+F188</f>
        <v>615.5</v>
      </c>
      <c r="G179" s="49">
        <f>G192+G180+G184+G188</f>
        <v>615.5</v>
      </c>
    </row>
    <row r="180" spans="1:7" ht="38.25" x14ac:dyDescent="0.2">
      <c r="A180" s="38" t="s">
        <v>467</v>
      </c>
      <c r="B180" s="11" t="s">
        <v>20</v>
      </c>
      <c r="C180" s="11" t="s">
        <v>37</v>
      </c>
      <c r="D180" s="12" t="s">
        <v>377</v>
      </c>
      <c r="E180" s="11"/>
      <c r="F180" s="42">
        <f t="shared" ref="F180:G182" si="11">F181</f>
        <v>30</v>
      </c>
      <c r="G180" s="42">
        <f t="shared" si="11"/>
        <v>30</v>
      </c>
    </row>
    <row r="181" spans="1:7" s="39" customFormat="1" ht="38.25" x14ac:dyDescent="0.2">
      <c r="A181" s="16" t="s">
        <v>378</v>
      </c>
      <c r="B181" s="4" t="s">
        <v>20</v>
      </c>
      <c r="C181" s="4" t="s">
        <v>37</v>
      </c>
      <c r="D181" s="4" t="s">
        <v>379</v>
      </c>
      <c r="E181" s="4"/>
      <c r="F181" s="5">
        <f t="shared" si="11"/>
        <v>30</v>
      </c>
      <c r="G181" s="5">
        <f t="shared" si="11"/>
        <v>30</v>
      </c>
    </row>
    <row r="182" spans="1:7" ht="25.5" x14ac:dyDescent="0.2">
      <c r="A182" s="17" t="s">
        <v>112</v>
      </c>
      <c r="B182" s="4" t="s">
        <v>20</v>
      </c>
      <c r="C182" s="4" t="s">
        <v>37</v>
      </c>
      <c r="D182" s="4" t="s">
        <v>380</v>
      </c>
      <c r="E182" s="4"/>
      <c r="F182" s="5">
        <f t="shared" si="11"/>
        <v>30</v>
      </c>
      <c r="G182" s="5">
        <f t="shared" si="11"/>
        <v>30</v>
      </c>
    </row>
    <row r="183" spans="1:7" s="39" customFormat="1" x14ac:dyDescent="0.2">
      <c r="A183" s="25" t="s">
        <v>363</v>
      </c>
      <c r="B183" s="6" t="s">
        <v>20</v>
      </c>
      <c r="C183" s="6" t="s">
        <v>37</v>
      </c>
      <c r="D183" s="6" t="s">
        <v>380</v>
      </c>
      <c r="E183" s="6" t="s">
        <v>90</v>
      </c>
      <c r="F183" s="20">
        <v>30</v>
      </c>
      <c r="G183" s="20">
        <v>30</v>
      </c>
    </row>
    <row r="184" spans="1:7" ht="38.25" x14ac:dyDescent="0.2">
      <c r="A184" s="61" t="s">
        <v>470</v>
      </c>
      <c r="B184" s="11" t="s">
        <v>20</v>
      </c>
      <c r="C184" s="11" t="s">
        <v>37</v>
      </c>
      <c r="D184" s="11" t="s">
        <v>381</v>
      </c>
      <c r="E184" s="11"/>
      <c r="F184" s="42">
        <f t="shared" ref="F184:G186" si="12">F185</f>
        <v>181</v>
      </c>
      <c r="G184" s="42">
        <f t="shared" si="12"/>
        <v>181</v>
      </c>
    </row>
    <row r="185" spans="1:7" ht="51" x14ac:dyDescent="0.2">
      <c r="A185" s="28" t="s">
        <v>382</v>
      </c>
      <c r="B185" s="4" t="s">
        <v>20</v>
      </c>
      <c r="C185" s="4" t="s">
        <v>37</v>
      </c>
      <c r="D185" s="4" t="s">
        <v>383</v>
      </c>
      <c r="E185" s="4"/>
      <c r="F185" s="5">
        <f t="shared" si="12"/>
        <v>181</v>
      </c>
      <c r="G185" s="5">
        <f t="shared" si="12"/>
        <v>181</v>
      </c>
    </row>
    <row r="186" spans="1:7" ht="25.5" x14ac:dyDescent="0.2">
      <c r="A186" s="17" t="s">
        <v>112</v>
      </c>
      <c r="B186" s="4" t="s">
        <v>20</v>
      </c>
      <c r="C186" s="4" t="s">
        <v>37</v>
      </c>
      <c r="D186" s="4" t="s">
        <v>384</v>
      </c>
      <c r="E186" s="4"/>
      <c r="F186" s="5">
        <f t="shared" si="12"/>
        <v>181</v>
      </c>
      <c r="G186" s="5">
        <f t="shared" si="12"/>
        <v>181</v>
      </c>
    </row>
    <row r="187" spans="1:7" ht="25.5" x14ac:dyDescent="0.2">
      <c r="A187" s="35" t="s">
        <v>66</v>
      </c>
      <c r="B187" s="6" t="s">
        <v>20</v>
      </c>
      <c r="C187" s="6" t="s">
        <v>37</v>
      </c>
      <c r="D187" s="6" t="s">
        <v>384</v>
      </c>
      <c r="E187" s="6" t="s">
        <v>67</v>
      </c>
      <c r="F187" s="20">
        <v>181</v>
      </c>
      <c r="G187" s="20">
        <v>181</v>
      </c>
    </row>
    <row r="188" spans="1:7" ht="51" x14ac:dyDescent="0.2">
      <c r="A188" s="61" t="s">
        <v>471</v>
      </c>
      <c r="B188" s="11" t="s">
        <v>20</v>
      </c>
      <c r="C188" s="11" t="s">
        <v>37</v>
      </c>
      <c r="D188" s="11" t="s">
        <v>385</v>
      </c>
      <c r="E188" s="11"/>
      <c r="F188" s="42">
        <f t="shared" ref="F188:G190" si="13">F189</f>
        <v>400</v>
      </c>
      <c r="G188" s="42">
        <f t="shared" si="13"/>
        <v>400</v>
      </c>
    </row>
    <row r="189" spans="1:7" ht="25.5" x14ac:dyDescent="0.2">
      <c r="A189" s="28" t="s">
        <v>386</v>
      </c>
      <c r="B189" s="4" t="s">
        <v>20</v>
      </c>
      <c r="C189" s="4" t="s">
        <v>37</v>
      </c>
      <c r="D189" s="4" t="s">
        <v>387</v>
      </c>
      <c r="E189" s="4"/>
      <c r="F189" s="5">
        <f t="shared" si="13"/>
        <v>400</v>
      </c>
      <c r="G189" s="5">
        <f t="shared" si="13"/>
        <v>400</v>
      </c>
    </row>
    <row r="190" spans="1:7" ht="25.5" x14ac:dyDescent="0.2">
      <c r="A190" s="29" t="s">
        <v>221</v>
      </c>
      <c r="B190" s="4" t="s">
        <v>20</v>
      </c>
      <c r="C190" s="4" t="s">
        <v>37</v>
      </c>
      <c r="D190" s="4" t="s">
        <v>388</v>
      </c>
      <c r="E190" s="4"/>
      <c r="F190" s="5">
        <f t="shared" si="13"/>
        <v>400</v>
      </c>
      <c r="G190" s="5">
        <f t="shared" si="13"/>
        <v>400</v>
      </c>
    </row>
    <row r="191" spans="1:7" ht="25.5" x14ac:dyDescent="0.2">
      <c r="A191" s="35" t="s">
        <v>66</v>
      </c>
      <c r="B191" s="6" t="s">
        <v>20</v>
      </c>
      <c r="C191" s="6" t="s">
        <v>37</v>
      </c>
      <c r="D191" s="6" t="s">
        <v>388</v>
      </c>
      <c r="E191" s="6" t="s">
        <v>67</v>
      </c>
      <c r="F191" s="80">
        <v>400</v>
      </c>
      <c r="G191" s="80">
        <v>400</v>
      </c>
    </row>
    <row r="192" spans="1:7" s="39" customFormat="1" x14ac:dyDescent="0.2">
      <c r="A192" s="38" t="s">
        <v>105</v>
      </c>
      <c r="B192" s="11" t="s">
        <v>20</v>
      </c>
      <c r="C192" s="11" t="s">
        <v>37</v>
      </c>
      <c r="D192" s="11" t="s">
        <v>123</v>
      </c>
      <c r="E192" s="11"/>
      <c r="F192" s="82">
        <f>F193</f>
        <v>4.5</v>
      </c>
      <c r="G192" s="82">
        <f>G193</f>
        <v>4.5</v>
      </c>
    </row>
    <row r="193" spans="1:7" ht="63.75" x14ac:dyDescent="0.2">
      <c r="A193" s="24" t="s">
        <v>61</v>
      </c>
      <c r="B193" s="4" t="s">
        <v>20</v>
      </c>
      <c r="C193" s="4" t="s">
        <v>37</v>
      </c>
      <c r="D193" s="4" t="s">
        <v>146</v>
      </c>
      <c r="E193" s="4"/>
      <c r="F193" s="81">
        <f>F194</f>
        <v>4.5</v>
      </c>
      <c r="G193" s="81">
        <f>G194</f>
        <v>4.5</v>
      </c>
    </row>
    <row r="194" spans="1:7" ht="25.5" x14ac:dyDescent="0.2">
      <c r="A194" s="35" t="s">
        <v>66</v>
      </c>
      <c r="B194" s="6" t="s">
        <v>20</v>
      </c>
      <c r="C194" s="6" t="s">
        <v>37</v>
      </c>
      <c r="D194" s="6" t="s">
        <v>146</v>
      </c>
      <c r="E194" s="6" t="s">
        <v>67</v>
      </c>
      <c r="F194" s="80">
        <v>4.5</v>
      </c>
      <c r="G194" s="80">
        <v>4.5</v>
      </c>
    </row>
    <row r="195" spans="1:7" s="39" customFormat="1" x14ac:dyDescent="0.2">
      <c r="A195" s="33" t="s">
        <v>87</v>
      </c>
      <c r="B195" s="10" t="s">
        <v>22</v>
      </c>
      <c r="C195" s="10"/>
      <c r="D195" s="10"/>
      <c r="E195" s="10"/>
      <c r="F195" s="48">
        <f>F204+F196</f>
        <v>31800.86562</v>
      </c>
      <c r="G195" s="48">
        <f>G204+G196</f>
        <v>31117.584620000001</v>
      </c>
    </row>
    <row r="196" spans="1:7" s="39" customFormat="1" x14ac:dyDescent="0.2">
      <c r="A196" s="27" t="s">
        <v>360</v>
      </c>
      <c r="B196" s="9" t="s">
        <v>22</v>
      </c>
      <c r="C196" s="9" t="s">
        <v>19</v>
      </c>
      <c r="D196" s="9"/>
      <c r="E196" s="9"/>
      <c r="F196" s="49">
        <f>F201+F197</f>
        <v>1814.0446199999999</v>
      </c>
      <c r="G196" s="49">
        <f>G201+G197</f>
        <v>1814.0446199999999</v>
      </c>
    </row>
    <row r="197" spans="1:7" s="39" customFormat="1" ht="25.5" x14ac:dyDescent="0.2">
      <c r="A197" s="100" t="s">
        <v>408</v>
      </c>
      <c r="B197" s="11" t="s">
        <v>22</v>
      </c>
      <c r="C197" s="11" t="s">
        <v>19</v>
      </c>
      <c r="D197" s="11" t="s">
        <v>410</v>
      </c>
      <c r="E197" s="11"/>
      <c r="F197" s="50">
        <f>F198</f>
        <v>750</v>
      </c>
      <c r="G197" s="50">
        <f>G198</f>
        <v>750</v>
      </c>
    </row>
    <row r="198" spans="1:7" s="39" customFormat="1" ht="25.5" x14ac:dyDescent="0.2">
      <c r="A198" s="101" t="s">
        <v>409</v>
      </c>
      <c r="B198" s="4" t="s">
        <v>22</v>
      </c>
      <c r="C198" s="4" t="s">
        <v>19</v>
      </c>
      <c r="D198" s="4" t="s">
        <v>411</v>
      </c>
      <c r="E198" s="4"/>
      <c r="F198" s="5">
        <f>F199</f>
        <v>750</v>
      </c>
      <c r="G198" s="5">
        <f>G199</f>
        <v>750</v>
      </c>
    </row>
    <row r="199" spans="1:7" s="39" customFormat="1" ht="25.5" x14ac:dyDescent="0.2">
      <c r="A199" s="16" t="s">
        <v>112</v>
      </c>
      <c r="B199" s="4" t="s">
        <v>22</v>
      </c>
      <c r="C199" s="4" t="s">
        <v>19</v>
      </c>
      <c r="D199" s="4" t="s">
        <v>412</v>
      </c>
      <c r="E199" s="4"/>
      <c r="F199" s="5">
        <f>SUM(F200:F200)</f>
        <v>750</v>
      </c>
      <c r="G199" s="5">
        <f>SUM(G200:G200)</f>
        <v>750</v>
      </c>
    </row>
    <row r="200" spans="1:7" s="39" customFormat="1" ht="25.5" x14ac:dyDescent="0.2">
      <c r="A200" s="35" t="s">
        <v>66</v>
      </c>
      <c r="B200" s="6" t="s">
        <v>22</v>
      </c>
      <c r="C200" s="6" t="s">
        <v>19</v>
      </c>
      <c r="D200" s="6" t="s">
        <v>412</v>
      </c>
      <c r="E200" s="6" t="s">
        <v>67</v>
      </c>
      <c r="F200" s="20">
        <v>750</v>
      </c>
      <c r="G200" s="20">
        <v>750</v>
      </c>
    </row>
    <row r="201" spans="1:7" s="39" customFormat="1" x14ac:dyDescent="0.2">
      <c r="A201" s="38" t="s">
        <v>105</v>
      </c>
      <c r="B201" s="11" t="s">
        <v>22</v>
      </c>
      <c r="C201" s="11" t="s">
        <v>19</v>
      </c>
      <c r="D201" s="11" t="s">
        <v>123</v>
      </c>
      <c r="E201" s="38"/>
      <c r="F201" s="70">
        <f t="shared" ref="F201:G202" si="14">F202</f>
        <v>1064.0446199999999</v>
      </c>
      <c r="G201" s="70">
        <f t="shared" si="14"/>
        <v>1064.0446199999999</v>
      </c>
    </row>
    <row r="202" spans="1:7" s="39" customFormat="1" ht="25.5" x14ac:dyDescent="0.2">
      <c r="A202" s="16" t="s">
        <v>390</v>
      </c>
      <c r="B202" s="4" t="s">
        <v>22</v>
      </c>
      <c r="C202" s="4" t="s">
        <v>19</v>
      </c>
      <c r="D202" s="4" t="s">
        <v>389</v>
      </c>
      <c r="E202" s="4"/>
      <c r="F202" s="5">
        <f t="shared" si="14"/>
        <v>1064.0446199999999</v>
      </c>
      <c r="G202" s="5">
        <f t="shared" si="14"/>
        <v>1064.0446199999999</v>
      </c>
    </row>
    <row r="203" spans="1:7" s="39" customFormat="1" x14ac:dyDescent="0.2">
      <c r="A203" s="35" t="s">
        <v>114</v>
      </c>
      <c r="B203" s="6" t="s">
        <v>22</v>
      </c>
      <c r="C203" s="6" t="s">
        <v>19</v>
      </c>
      <c r="D203" s="6" t="s">
        <v>389</v>
      </c>
      <c r="E203" s="6" t="s">
        <v>74</v>
      </c>
      <c r="F203" s="20">
        <v>1064.0446199999999</v>
      </c>
      <c r="G203" s="20">
        <v>1064.0446199999999</v>
      </c>
    </row>
    <row r="204" spans="1:7" x14ac:dyDescent="0.2">
      <c r="A204" s="27" t="s">
        <v>7</v>
      </c>
      <c r="B204" s="9" t="s">
        <v>22</v>
      </c>
      <c r="C204" s="9" t="s">
        <v>32</v>
      </c>
      <c r="D204" s="9"/>
      <c r="E204" s="9"/>
      <c r="F204" s="49">
        <f>F209+F205</f>
        <v>29986.821</v>
      </c>
      <c r="G204" s="49">
        <f>G209+G205</f>
        <v>29303.54</v>
      </c>
    </row>
    <row r="205" spans="1:7" ht="38.25" x14ac:dyDescent="0.2">
      <c r="A205" s="61" t="s">
        <v>468</v>
      </c>
      <c r="B205" s="11" t="s">
        <v>22</v>
      </c>
      <c r="C205" s="11" t="s">
        <v>32</v>
      </c>
      <c r="D205" s="11" t="s">
        <v>422</v>
      </c>
      <c r="E205" s="11"/>
      <c r="F205" s="50">
        <f t="shared" ref="F205:G207" si="15">F206</f>
        <v>16883.355</v>
      </c>
      <c r="G205" s="50">
        <f t="shared" si="15"/>
        <v>16200.074000000001</v>
      </c>
    </row>
    <row r="206" spans="1:7" ht="25.5" x14ac:dyDescent="0.2">
      <c r="A206" s="24" t="s">
        <v>420</v>
      </c>
      <c r="B206" s="4" t="s">
        <v>22</v>
      </c>
      <c r="C206" s="4" t="s">
        <v>32</v>
      </c>
      <c r="D206" s="4" t="s">
        <v>447</v>
      </c>
      <c r="E206" s="16"/>
      <c r="F206" s="5">
        <f t="shared" si="15"/>
        <v>16883.355</v>
      </c>
      <c r="G206" s="5">
        <f t="shared" si="15"/>
        <v>16200.074000000001</v>
      </c>
    </row>
    <row r="207" spans="1:7" ht="38.25" x14ac:dyDescent="0.2">
      <c r="A207" s="24" t="s">
        <v>421</v>
      </c>
      <c r="B207" s="4" t="s">
        <v>22</v>
      </c>
      <c r="C207" s="4" t="s">
        <v>32</v>
      </c>
      <c r="D207" s="4" t="s">
        <v>448</v>
      </c>
      <c r="E207" s="16"/>
      <c r="F207" s="5">
        <f t="shared" si="15"/>
        <v>16883.355</v>
      </c>
      <c r="G207" s="5">
        <f t="shared" si="15"/>
        <v>16200.074000000001</v>
      </c>
    </row>
    <row r="208" spans="1:7" ht="25.5" x14ac:dyDescent="0.2">
      <c r="A208" s="19" t="s">
        <v>112</v>
      </c>
      <c r="B208" s="6" t="s">
        <v>22</v>
      </c>
      <c r="C208" s="6" t="s">
        <v>32</v>
      </c>
      <c r="D208" s="6" t="s">
        <v>448</v>
      </c>
      <c r="E208" s="89" t="s">
        <v>74</v>
      </c>
      <c r="F208" s="80">
        <v>16883.355</v>
      </c>
      <c r="G208" s="80">
        <v>16200.074000000001</v>
      </c>
    </row>
    <row r="209" spans="1:7" ht="38.25" x14ac:dyDescent="0.2">
      <c r="A209" s="38" t="s">
        <v>413</v>
      </c>
      <c r="B209" s="11" t="s">
        <v>22</v>
      </c>
      <c r="C209" s="11" t="s">
        <v>32</v>
      </c>
      <c r="D209" s="11" t="s">
        <v>371</v>
      </c>
      <c r="E209" s="11"/>
      <c r="F209" s="50">
        <f t="shared" ref="F209:G211" si="16">F210</f>
        <v>13103.466</v>
      </c>
      <c r="G209" s="50">
        <f t="shared" si="16"/>
        <v>13103.466</v>
      </c>
    </row>
    <row r="210" spans="1:7" ht="25.5" x14ac:dyDescent="0.2">
      <c r="A210" s="16" t="s">
        <v>372</v>
      </c>
      <c r="B210" s="4" t="s">
        <v>22</v>
      </c>
      <c r="C210" s="4" t="s">
        <v>32</v>
      </c>
      <c r="D210" s="4" t="s">
        <v>373</v>
      </c>
      <c r="E210" s="4"/>
      <c r="F210" s="5">
        <f t="shared" si="16"/>
        <v>13103.466</v>
      </c>
      <c r="G210" s="5">
        <f t="shared" si="16"/>
        <v>13103.466</v>
      </c>
    </row>
    <row r="211" spans="1:7" ht="25.5" x14ac:dyDescent="0.2">
      <c r="A211" s="17" t="s">
        <v>112</v>
      </c>
      <c r="B211" s="4" t="s">
        <v>22</v>
      </c>
      <c r="C211" s="4" t="s">
        <v>32</v>
      </c>
      <c r="D211" s="4" t="s">
        <v>374</v>
      </c>
      <c r="E211" s="4"/>
      <c r="F211" s="5">
        <f t="shared" si="16"/>
        <v>13103.466</v>
      </c>
      <c r="G211" s="5">
        <f t="shared" si="16"/>
        <v>13103.466</v>
      </c>
    </row>
    <row r="212" spans="1:7" ht="25.5" x14ac:dyDescent="0.2">
      <c r="A212" s="19" t="s">
        <v>112</v>
      </c>
      <c r="B212" s="6" t="s">
        <v>22</v>
      </c>
      <c r="C212" s="6" t="s">
        <v>32</v>
      </c>
      <c r="D212" s="6" t="s">
        <v>374</v>
      </c>
      <c r="E212" s="6" t="s">
        <v>67</v>
      </c>
      <c r="F212" s="20">
        <f>8886.66+4216.806</f>
        <v>13103.466</v>
      </c>
      <c r="G212" s="20">
        <f>8886.66+4216.806</f>
        <v>13103.466</v>
      </c>
    </row>
    <row r="213" spans="1:7" x14ac:dyDescent="0.2">
      <c r="A213" s="33" t="s">
        <v>492</v>
      </c>
      <c r="B213" s="10" t="s">
        <v>25</v>
      </c>
      <c r="C213" s="10"/>
      <c r="D213" s="10"/>
      <c r="E213" s="10"/>
      <c r="F213" s="48">
        <f t="shared" ref="F213:G215" si="17">F214</f>
        <v>725113.80784000002</v>
      </c>
      <c r="G213" s="48">
        <f t="shared" si="17"/>
        <v>0</v>
      </c>
    </row>
    <row r="214" spans="1:7" x14ac:dyDescent="0.2">
      <c r="A214" s="27" t="s">
        <v>493</v>
      </c>
      <c r="B214" s="9" t="s">
        <v>25</v>
      </c>
      <c r="C214" s="9" t="s">
        <v>22</v>
      </c>
      <c r="D214" s="9"/>
      <c r="E214" s="9"/>
      <c r="F214" s="49">
        <f t="shared" si="17"/>
        <v>725113.80784000002</v>
      </c>
      <c r="G214" s="49">
        <f t="shared" si="17"/>
        <v>0</v>
      </c>
    </row>
    <row r="215" spans="1:7" x14ac:dyDescent="0.2">
      <c r="A215" s="34" t="s">
        <v>105</v>
      </c>
      <c r="B215" s="11" t="s">
        <v>25</v>
      </c>
      <c r="C215" s="11" t="s">
        <v>22</v>
      </c>
      <c r="D215" s="11" t="s">
        <v>123</v>
      </c>
      <c r="E215" s="11"/>
      <c r="F215" s="50">
        <f t="shared" si="17"/>
        <v>725113.80784000002</v>
      </c>
      <c r="G215" s="50">
        <f t="shared" si="17"/>
        <v>0</v>
      </c>
    </row>
    <row r="216" spans="1:7" ht="38.25" x14ac:dyDescent="0.2">
      <c r="A216" s="24" t="s">
        <v>494</v>
      </c>
      <c r="B216" s="4" t="s">
        <v>25</v>
      </c>
      <c r="C216" s="4" t="s">
        <v>22</v>
      </c>
      <c r="D216" s="94" t="s">
        <v>495</v>
      </c>
      <c r="E216" s="4"/>
      <c r="F216" s="5">
        <f>SUM(F217:F217)</f>
        <v>725113.80784000002</v>
      </c>
      <c r="G216" s="5">
        <f>SUM(G217:G217)</f>
        <v>0</v>
      </c>
    </row>
    <row r="217" spans="1:7" x14ac:dyDescent="0.2">
      <c r="A217" s="35" t="s">
        <v>114</v>
      </c>
      <c r="B217" s="6" t="s">
        <v>25</v>
      </c>
      <c r="C217" s="6" t="s">
        <v>22</v>
      </c>
      <c r="D217" s="89" t="s">
        <v>495</v>
      </c>
      <c r="E217" s="6" t="s">
        <v>74</v>
      </c>
      <c r="F217" s="20">
        <v>725113.80784000002</v>
      </c>
      <c r="G217" s="20">
        <v>0</v>
      </c>
    </row>
    <row r="218" spans="1:7" x14ac:dyDescent="0.2">
      <c r="A218" s="21" t="s">
        <v>76</v>
      </c>
      <c r="B218" s="10" t="s">
        <v>21</v>
      </c>
      <c r="C218" s="10"/>
      <c r="D218" s="10"/>
      <c r="E218" s="10"/>
      <c r="F218" s="52">
        <f>F219+F231+F261+F284+F304+F278</f>
        <v>924414.96149999986</v>
      </c>
      <c r="G218" s="52">
        <f>G219+G231+G261+G284+G304+G278</f>
        <v>923091.83689999988</v>
      </c>
    </row>
    <row r="219" spans="1:7" x14ac:dyDescent="0.2">
      <c r="A219" s="27" t="s">
        <v>12</v>
      </c>
      <c r="B219" s="9" t="s">
        <v>21</v>
      </c>
      <c r="C219" s="9" t="s">
        <v>18</v>
      </c>
      <c r="D219" s="9"/>
      <c r="E219" s="9"/>
      <c r="F219" s="49">
        <f t="shared" ref="F219:G221" si="18">F220</f>
        <v>195659.48100000003</v>
      </c>
      <c r="G219" s="49">
        <f t="shared" si="18"/>
        <v>192340.63700000002</v>
      </c>
    </row>
    <row r="220" spans="1:7" ht="25.5" x14ac:dyDescent="0.2">
      <c r="A220" s="34" t="s">
        <v>463</v>
      </c>
      <c r="B220" s="11" t="s">
        <v>21</v>
      </c>
      <c r="C220" s="11" t="s">
        <v>18</v>
      </c>
      <c r="D220" s="11" t="s">
        <v>174</v>
      </c>
      <c r="E220" s="11"/>
      <c r="F220" s="50">
        <f t="shared" si="18"/>
        <v>195659.48100000003</v>
      </c>
      <c r="G220" s="50">
        <f t="shared" si="18"/>
        <v>192340.63700000002</v>
      </c>
    </row>
    <row r="221" spans="1:7" s="39" customFormat="1" ht="27" x14ac:dyDescent="0.2">
      <c r="A221" s="31" t="s">
        <v>475</v>
      </c>
      <c r="B221" s="7" t="s">
        <v>21</v>
      </c>
      <c r="C221" s="7" t="s">
        <v>18</v>
      </c>
      <c r="D221" s="7" t="s">
        <v>175</v>
      </c>
      <c r="E221" s="7"/>
      <c r="F221" s="42">
        <f>F222</f>
        <v>195659.48100000003</v>
      </c>
      <c r="G221" s="42">
        <f t="shared" si="18"/>
        <v>192340.63700000002</v>
      </c>
    </row>
    <row r="222" spans="1:7" ht="38.25" x14ac:dyDescent="0.2">
      <c r="A222" s="30" t="s">
        <v>176</v>
      </c>
      <c r="B222" s="4" t="s">
        <v>21</v>
      </c>
      <c r="C222" s="4" t="s">
        <v>18</v>
      </c>
      <c r="D222" s="4" t="s">
        <v>177</v>
      </c>
      <c r="E222" s="4"/>
      <c r="F222" s="5">
        <f>F223+F229+F225+F227</f>
        <v>195659.48100000003</v>
      </c>
      <c r="G222" s="5">
        <f>G223+G229+G225+G227</f>
        <v>192340.63700000002</v>
      </c>
    </row>
    <row r="223" spans="1:7" ht="25.5" x14ac:dyDescent="0.2">
      <c r="A223" s="22" t="s">
        <v>108</v>
      </c>
      <c r="B223" s="4" t="s">
        <v>21</v>
      </c>
      <c r="C223" s="4" t="s">
        <v>18</v>
      </c>
      <c r="D223" s="4" t="s">
        <v>180</v>
      </c>
      <c r="E223" s="4"/>
      <c r="F223" s="5">
        <f>F224</f>
        <v>157463.1</v>
      </c>
      <c r="G223" s="5">
        <f>G224</f>
        <v>157463.1</v>
      </c>
    </row>
    <row r="224" spans="1:7" ht="51" x14ac:dyDescent="0.2">
      <c r="A224" s="57" t="s">
        <v>78</v>
      </c>
      <c r="B224" s="6" t="s">
        <v>21</v>
      </c>
      <c r="C224" s="6" t="s">
        <v>18</v>
      </c>
      <c r="D224" s="6" t="s">
        <v>180</v>
      </c>
      <c r="E224" s="6" t="s">
        <v>84</v>
      </c>
      <c r="F224" s="80">
        <v>157463.1</v>
      </c>
      <c r="G224" s="80">
        <v>157463.1</v>
      </c>
    </row>
    <row r="225" spans="1:7" s="39" customFormat="1" ht="37.5" customHeight="1" x14ac:dyDescent="0.2">
      <c r="A225" s="30" t="s">
        <v>335</v>
      </c>
      <c r="B225" s="4" t="s">
        <v>21</v>
      </c>
      <c r="C225" s="4" t="s">
        <v>18</v>
      </c>
      <c r="D225" s="4" t="s">
        <v>336</v>
      </c>
      <c r="E225" s="4"/>
      <c r="F225" s="81">
        <f>F226</f>
        <v>552.70000000000005</v>
      </c>
      <c r="G225" s="81">
        <f>G226</f>
        <v>552.70000000000005</v>
      </c>
    </row>
    <row r="226" spans="1:7" ht="51" x14ac:dyDescent="0.2">
      <c r="A226" s="57" t="s">
        <v>78</v>
      </c>
      <c r="B226" s="6" t="s">
        <v>21</v>
      </c>
      <c r="C226" s="6" t="s">
        <v>18</v>
      </c>
      <c r="D226" s="6" t="s">
        <v>336</v>
      </c>
      <c r="E226" s="6" t="s">
        <v>84</v>
      </c>
      <c r="F226" s="80">
        <v>552.70000000000005</v>
      </c>
      <c r="G226" s="80">
        <v>552.70000000000005</v>
      </c>
    </row>
    <row r="227" spans="1:7" s="39" customFormat="1" ht="37.5" customHeight="1" x14ac:dyDescent="0.2">
      <c r="A227" s="30" t="s">
        <v>414</v>
      </c>
      <c r="B227" s="4" t="s">
        <v>21</v>
      </c>
      <c r="C227" s="4" t="s">
        <v>18</v>
      </c>
      <c r="D227" s="4" t="s">
        <v>415</v>
      </c>
      <c r="E227" s="4"/>
      <c r="F227" s="81">
        <f>F228</f>
        <v>648</v>
      </c>
      <c r="G227" s="81">
        <f>G228</f>
        <v>648</v>
      </c>
    </row>
    <row r="228" spans="1:7" x14ac:dyDescent="0.2">
      <c r="A228" s="14" t="s">
        <v>80</v>
      </c>
      <c r="B228" s="6" t="s">
        <v>21</v>
      </c>
      <c r="C228" s="6" t="s">
        <v>18</v>
      </c>
      <c r="D228" s="6" t="s">
        <v>415</v>
      </c>
      <c r="E228" s="6" t="s">
        <v>81</v>
      </c>
      <c r="F228" s="80">
        <f>324+324</f>
        <v>648</v>
      </c>
      <c r="G228" s="80">
        <f>324+324</f>
        <v>648</v>
      </c>
    </row>
    <row r="229" spans="1:7" ht="25.5" x14ac:dyDescent="0.2">
      <c r="A229" s="30" t="s">
        <v>178</v>
      </c>
      <c r="B229" s="4" t="s">
        <v>21</v>
      </c>
      <c r="C229" s="4" t="s">
        <v>18</v>
      </c>
      <c r="D229" s="4" t="s">
        <v>179</v>
      </c>
      <c r="E229" s="4"/>
      <c r="F229" s="81">
        <f>F230</f>
        <v>36995.681000000004</v>
      </c>
      <c r="G229" s="81">
        <f>G230</f>
        <v>33676.837</v>
      </c>
    </row>
    <row r="230" spans="1:7" ht="51" x14ac:dyDescent="0.2">
      <c r="A230" s="57" t="s">
        <v>78</v>
      </c>
      <c r="B230" s="6" t="s">
        <v>21</v>
      </c>
      <c r="C230" s="6" t="s">
        <v>18</v>
      </c>
      <c r="D230" s="6" t="s">
        <v>179</v>
      </c>
      <c r="E230" s="6" t="s">
        <v>84</v>
      </c>
      <c r="F230" s="80">
        <f>16093.8+3797.5+10000+4000+7000-3895.619</f>
        <v>36995.681000000004</v>
      </c>
      <c r="G230" s="80">
        <f>16093.8+3797.5+10000+4000+7000-7214.463</f>
        <v>33676.837</v>
      </c>
    </row>
    <row r="231" spans="1:7" x14ac:dyDescent="0.2">
      <c r="A231" s="23" t="s">
        <v>13</v>
      </c>
      <c r="B231" s="9" t="s">
        <v>21</v>
      </c>
      <c r="C231" s="9" t="s">
        <v>19</v>
      </c>
      <c r="D231" s="9"/>
      <c r="E231" s="9"/>
      <c r="F231" s="49">
        <f>F232</f>
        <v>608506.98</v>
      </c>
      <c r="G231" s="49">
        <f>G232</f>
        <v>610502.69999999995</v>
      </c>
    </row>
    <row r="232" spans="1:7" ht="25.5" x14ac:dyDescent="0.2">
      <c r="A232" s="34" t="s">
        <v>463</v>
      </c>
      <c r="B232" s="7" t="s">
        <v>21</v>
      </c>
      <c r="C232" s="7" t="s">
        <v>19</v>
      </c>
      <c r="D232" s="11" t="s">
        <v>174</v>
      </c>
      <c r="E232" s="7"/>
      <c r="F232" s="42">
        <f>F233</f>
        <v>608506.98</v>
      </c>
      <c r="G232" s="42">
        <f>G233</f>
        <v>610502.69999999995</v>
      </c>
    </row>
    <row r="233" spans="1:7" ht="27" x14ac:dyDescent="0.2">
      <c r="A233" s="31" t="s">
        <v>476</v>
      </c>
      <c r="B233" s="7" t="s">
        <v>21</v>
      </c>
      <c r="C233" s="7" t="s">
        <v>19</v>
      </c>
      <c r="D233" s="7" t="s">
        <v>181</v>
      </c>
      <c r="E233" s="7"/>
      <c r="F233" s="42">
        <f>F234+F258+F255</f>
        <v>608506.98</v>
      </c>
      <c r="G233" s="42">
        <f>G234+G258+G255</f>
        <v>610502.69999999995</v>
      </c>
    </row>
    <row r="234" spans="1:7" ht="25.5" x14ac:dyDescent="0.2">
      <c r="A234" s="30" t="s">
        <v>187</v>
      </c>
      <c r="B234" s="4" t="s">
        <v>21</v>
      </c>
      <c r="C234" s="4" t="s">
        <v>19</v>
      </c>
      <c r="D234" s="4" t="s">
        <v>183</v>
      </c>
      <c r="E234" s="4"/>
      <c r="F234" s="5">
        <f>F235+F237+F239+F247+F243+F253+F251+F245+F249+F241</f>
        <v>608132.57999999996</v>
      </c>
      <c r="G234" s="5">
        <f>G235+G237+G239+G247+G243+G253+G251+G245+G249+G241</f>
        <v>610128.29999999993</v>
      </c>
    </row>
    <row r="235" spans="1:7" ht="63.75" x14ac:dyDescent="0.2">
      <c r="A235" s="24" t="s">
        <v>110</v>
      </c>
      <c r="B235" s="4" t="s">
        <v>21</v>
      </c>
      <c r="C235" s="4" t="s">
        <v>19</v>
      </c>
      <c r="D235" s="4" t="s">
        <v>188</v>
      </c>
      <c r="E235" s="4"/>
      <c r="F235" s="81">
        <f>F236</f>
        <v>300594.09999999998</v>
      </c>
      <c r="G235" s="81">
        <f>G236</f>
        <v>300594.09999999998</v>
      </c>
    </row>
    <row r="236" spans="1:7" ht="51" x14ac:dyDescent="0.2">
      <c r="A236" s="25" t="s">
        <v>78</v>
      </c>
      <c r="B236" s="6" t="s">
        <v>21</v>
      </c>
      <c r="C236" s="6" t="s">
        <v>19</v>
      </c>
      <c r="D236" s="6" t="s">
        <v>189</v>
      </c>
      <c r="E236" s="6" t="s">
        <v>84</v>
      </c>
      <c r="F236" s="80">
        <v>300594.09999999998</v>
      </c>
      <c r="G236" s="80">
        <v>300594.09999999998</v>
      </c>
    </row>
    <row r="237" spans="1:7" s="39" customFormat="1" ht="63.75" x14ac:dyDescent="0.2">
      <c r="A237" s="17" t="s">
        <v>417</v>
      </c>
      <c r="B237" s="4" t="s">
        <v>21</v>
      </c>
      <c r="C237" s="4" t="s">
        <v>19</v>
      </c>
      <c r="D237" s="4" t="s">
        <v>190</v>
      </c>
      <c r="E237" s="4"/>
      <c r="F237" s="81">
        <f>F238</f>
        <v>5565.8</v>
      </c>
      <c r="G237" s="81">
        <f>G238</f>
        <v>5565.8</v>
      </c>
    </row>
    <row r="238" spans="1:7" s="39" customFormat="1" x14ac:dyDescent="0.2">
      <c r="A238" s="14" t="s">
        <v>80</v>
      </c>
      <c r="B238" s="6" t="s">
        <v>21</v>
      </c>
      <c r="C238" s="6" t="s">
        <v>19</v>
      </c>
      <c r="D238" s="6" t="s">
        <v>190</v>
      </c>
      <c r="E238" s="6" t="s">
        <v>81</v>
      </c>
      <c r="F238" s="80">
        <v>5565.8</v>
      </c>
      <c r="G238" s="80">
        <v>5565.8</v>
      </c>
    </row>
    <row r="239" spans="1:7" ht="38.25" x14ac:dyDescent="0.2">
      <c r="A239" s="30" t="s">
        <v>184</v>
      </c>
      <c r="B239" s="4" t="s">
        <v>21</v>
      </c>
      <c r="C239" s="4" t="s">
        <v>19</v>
      </c>
      <c r="D239" s="4" t="s">
        <v>185</v>
      </c>
      <c r="E239" s="4"/>
      <c r="F239" s="81">
        <f>F240</f>
        <v>44202.880000000005</v>
      </c>
      <c r="G239" s="81">
        <f>G240</f>
        <v>47260.600000000006</v>
      </c>
    </row>
    <row r="240" spans="1:7" ht="51" x14ac:dyDescent="0.2">
      <c r="A240" s="25" t="s">
        <v>78</v>
      </c>
      <c r="B240" s="6" t="s">
        <v>21</v>
      </c>
      <c r="C240" s="6" t="s">
        <v>19</v>
      </c>
      <c r="D240" s="6" t="s">
        <v>186</v>
      </c>
      <c r="E240" s="6" t="s">
        <v>84</v>
      </c>
      <c r="F240" s="80">
        <f>43870.5+437.8-105.42</f>
        <v>44202.880000000005</v>
      </c>
      <c r="G240" s="80">
        <f>42291.905+4991.3-249.565+437.8-210.84</f>
        <v>47260.600000000006</v>
      </c>
    </row>
    <row r="241" spans="1:7" ht="114.75" x14ac:dyDescent="0.2">
      <c r="A241" s="30" t="s">
        <v>423</v>
      </c>
      <c r="B241" s="4" t="s">
        <v>21</v>
      </c>
      <c r="C241" s="4" t="s">
        <v>19</v>
      </c>
      <c r="D241" s="4" t="s">
        <v>442</v>
      </c>
      <c r="E241" s="4"/>
      <c r="F241" s="81">
        <f>F242</f>
        <v>1750.5</v>
      </c>
      <c r="G241" s="81">
        <f>G242</f>
        <v>1750.5</v>
      </c>
    </row>
    <row r="242" spans="1:7" x14ac:dyDescent="0.2">
      <c r="A242" s="14" t="s">
        <v>80</v>
      </c>
      <c r="B242" s="6" t="s">
        <v>21</v>
      </c>
      <c r="C242" s="6" t="s">
        <v>19</v>
      </c>
      <c r="D242" s="6" t="s">
        <v>442</v>
      </c>
      <c r="E242" s="6" t="s">
        <v>81</v>
      </c>
      <c r="F242" s="20">
        <v>1750.5</v>
      </c>
      <c r="G242" s="20">
        <v>1750.5</v>
      </c>
    </row>
    <row r="243" spans="1:7" ht="51" x14ac:dyDescent="0.2">
      <c r="A243" s="17" t="s">
        <v>441</v>
      </c>
      <c r="B243" s="4" t="s">
        <v>21</v>
      </c>
      <c r="C243" s="4" t="s">
        <v>19</v>
      </c>
      <c r="D243" s="4" t="s">
        <v>249</v>
      </c>
      <c r="E243" s="4"/>
      <c r="F243" s="81">
        <f>F244</f>
        <v>26339.999999999996</v>
      </c>
      <c r="G243" s="81">
        <f>G244</f>
        <v>25197.3</v>
      </c>
    </row>
    <row r="244" spans="1:7" x14ac:dyDescent="0.2">
      <c r="A244" s="14" t="s">
        <v>80</v>
      </c>
      <c r="B244" s="6" t="s">
        <v>21</v>
      </c>
      <c r="C244" s="6" t="s">
        <v>19</v>
      </c>
      <c r="D244" s="6" t="s">
        <v>249</v>
      </c>
      <c r="E244" s="6" t="s">
        <v>81</v>
      </c>
      <c r="F244" s="80">
        <f>27585.6+278.6-1524.4+0.2</f>
        <v>26339.999999999996</v>
      </c>
      <c r="G244" s="80">
        <v>25197.3</v>
      </c>
    </row>
    <row r="245" spans="1:7" s="39" customFormat="1" ht="51" x14ac:dyDescent="0.2">
      <c r="A245" s="30" t="s">
        <v>358</v>
      </c>
      <c r="B245" s="4" t="s">
        <v>21</v>
      </c>
      <c r="C245" s="4" t="s">
        <v>19</v>
      </c>
      <c r="D245" s="4" t="s">
        <v>280</v>
      </c>
      <c r="E245" s="4"/>
      <c r="F245" s="5">
        <f>F246</f>
        <v>140557.1</v>
      </c>
      <c r="G245" s="5">
        <f>G246</f>
        <v>140557.1</v>
      </c>
    </row>
    <row r="246" spans="1:7" s="39" customFormat="1" ht="51" x14ac:dyDescent="0.2">
      <c r="A246" s="25" t="s">
        <v>78</v>
      </c>
      <c r="B246" s="6" t="s">
        <v>21</v>
      </c>
      <c r="C246" s="6" t="s">
        <v>19</v>
      </c>
      <c r="D246" s="6" t="s">
        <v>280</v>
      </c>
      <c r="E246" s="6" t="s">
        <v>84</v>
      </c>
      <c r="F246" s="80">
        <f>136340.4+4216.7</f>
        <v>140557.1</v>
      </c>
      <c r="G246" s="80">
        <f>136340.4+4216.7</f>
        <v>140557.1</v>
      </c>
    </row>
    <row r="247" spans="1:7" s="39" customFormat="1" ht="38.25" x14ac:dyDescent="0.2">
      <c r="A247" s="17" t="s">
        <v>357</v>
      </c>
      <c r="B247" s="4" t="s">
        <v>21</v>
      </c>
      <c r="C247" s="4" t="s">
        <v>19</v>
      </c>
      <c r="D247" s="4" t="s">
        <v>399</v>
      </c>
      <c r="E247" s="4"/>
      <c r="F247" s="81">
        <f>F248</f>
        <v>20385.5</v>
      </c>
      <c r="G247" s="81">
        <f>G248</f>
        <v>20385.5</v>
      </c>
    </row>
    <row r="248" spans="1:7" s="39" customFormat="1" x14ac:dyDescent="0.2">
      <c r="A248" s="14" t="s">
        <v>80</v>
      </c>
      <c r="B248" s="6" t="s">
        <v>21</v>
      </c>
      <c r="C248" s="6" t="s">
        <v>19</v>
      </c>
      <c r="D248" s="6" t="s">
        <v>399</v>
      </c>
      <c r="E248" s="6" t="s">
        <v>81</v>
      </c>
      <c r="F248" s="80">
        <f>10804.3+9581.2</f>
        <v>20385.5</v>
      </c>
      <c r="G248" s="80">
        <f>10804.3+9581.2</f>
        <v>20385.5</v>
      </c>
    </row>
    <row r="249" spans="1:7" s="39" customFormat="1" ht="102" x14ac:dyDescent="0.2">
      <c r="A249" s="17" t="s">
        <v>375</v>
      </c>
      <c r="B249" s="4" t="s">
        <v>21</v>
      </c>
      <c r="C249" s="4" t="s">
        <v>19</v>
      </c>
      <c r="D249" s="4" t="s">
        <v>376</v>
      </c>
      <c r="E249" s="4"/>
      <c r="F249" s="81">
        <f>F250</f>
        <v>1570.6999999999998</v>
      </c>
      <c r="G249" s="81">
        <f>G250</f>
        <v>1570.6999999999998</v>
      </c>
    </row>
    <row r="250" spans="1:7" s="39" customFormat="1" x14ac:dyDescent="0.2">
      <c r="A250" s="14" t="s">
        <v>80</v>
      </c>
      <c r="B250" s="6" t="s">
        <v>21</v>
      </c>
      <c r="C250" s="6" t="s">
        <v>19</v>
      </c>
      <c r="D250" s="6" t="s">
        <v>376</v>
      </c>
      <c r="E250" s="6" t="s">
        <v>81</v>
      </c>
      <c r="F250" s="80">
        <f>1523.6+47.1</f>
        <v>1570.6999999999998</v>
      </c>
      <c r="G250" s="80">
        <f>1523.6+47.1</f>
        <v>1570.6999999999998</v>
      </c>
    </row>
    <row r="251" spans="1:7" s="39" customFormat="1" ht="51" x14ac:dyDescent="0.2">
      <c r="A251" s="95" t="s">
        <v>359</v>
      </c>
      <c r="B251" s="94" t="s">
        <v>21</v>
      </c>
      <c r="C251" s="94" t="s">
        <v>19</v>
      </c>
      <c r="D251" s="94" t="s">
        <v>443</v>
      </c>
      <c r="E251" s="94"/>
      <c r="F251" s="81">
        <f>F252</f>
        <v>4462.3</v>
      </c>
      <c r="G251" s="81">
        <f>G252</f>
        <v>4543</v>
      </c>
    </row>
    <row r="252" spans="1:7" s="39" customFormat="1" x14ac:dyDescent="0.2">
      <c r="A252" s="35" t="s">
        <v>80</v>
      </c>
      <c r="B252" s="89" t="s">
        <v>21</v>
      </c>
      <c r="C252" s="89" t="s">
        <v>19</v>
      </c>
      <c r="D252" s="89" t="s">
        <v>443</v>
      </c>
      <c r="E252" s="89" t="s">
        <v>81</v>
      </c>
      <c r="F252" s="80">
        <v>4462.3</v>
      </c>
      <c r="G252" s="80">
        <v>4543</v>
      </c>
    </row>
    <row r="253" spans="1:7" ht="102" x14ac:dyDescent="0.2">
      <c r="A253" s="30" t="s">
        <v>416</v>
      </c>
      <c r="B253" s="4" t="s">
        <v>21</v>
      </c>
      <c r="C253" s="4" t="s">
        <v>19</v>
      </c>
      <c r="D253" s="4" t="s">
        <v>444</v>
      </c>
      <c r="E253" s="4"/>
      <c r="F253" s="81">
        <f>F254</f>
        <v>62703.7</v>
      </c>
      <c r="G253" s="81">
        <f>G254</f>
        <v>62703.7</v>
      </c>
    </row>
    <row r="254" spans="1:7" x14ac:dyDescent="0.2">
      <c r="A254" s="14" t="s">
        <v>80</v>
      </c>
      <c r="B254" s="6" t="s">
        <v>21</v>
      </c>
      <c r="C254" s="6" t="s">
        <v>19</v>
      </c>
      <c r="D254" s="4" t="s">
        <v>444</v>
      </c>
      <c r="E254" s="6" t="s">
        <v>81</v>
      </c>
      <c r="F254" s="80">
        <v>62703.7</v>
      </c>
      <c r="G254" s="80">
        <v>62703.7</v>
      </c>
    </row>
    <row r="255" spans="1:7" s="39" customFormat="1" ht="38.25" x14ac:dyDescent="0.2">
      <c r="A255" s="24" t="s">
        <v>344</v>
      </c>
      <c r="B255" s="4" t="s">
        <v>21</v>
      </c>
      <c r="C255" s="4" t="s">
        <v>19</v>
      </c>
      <c r="D255" s="4" t="s">
        <v>346</v>
      </c>
      <c r="E255" s="4"/>
      <c r="F255" s="5">
        <f>F256</f>
        <v>374.4</v>
      </c>
      <c r="G255" s="5">
        <f>G256</f>
        <v>374.4</v>
      </c>
    </row>
    <row r="256" spans="1:7" s="39" customFormat="1" ht="25.5" x14ac:dyDescent="0.2">
      <c r="A256" s="24" t="s">
        <v>345</v>
      </c>
      <c r="B256" s="4" t="s">
        <v>21</v>
      </c>
      <c r="C256" s="4" t="s">
        <v>19</v>
      </c>
      <c r="D256" s="4" t="s">
        <v>347</v>
      </c>
      <c r="E256" s="4"/>
      <c r="F256" s="5">
        <f>F257</f>
        <v>374.4</v>
      </c>
      <c r="G256" s="5">
        <f>G257</f>
        <v>374.4</v>
      </c>
    </row>
    <row r="257" spans="1:7" s="39" customFormat="1" x14ac:dyDescent="0.2">
      <c r="A257" s="35" t="s">
        <v>80</v>
      </c>
      <c r="B257" s="6" t="s">
        <v>21</v>
      </c>
      <c r="C257" s="6" t="s">
        <v>19</v>
      </c>
      <c r="D257" s="6" t="s">
        <v>347</v>
      </c>
      <c r="E257" s="6" t="s">
        <v>81</v>
      </c>
      <c r="F257" s="20">
        <v>374.4</v>
      </c>
      <c r="G257" s="20">
        <v>374.4</v>
      </c>
    </row>
    <row r="258" spans="1:7" s="39" customFormat="1" ht="25.5" x14ac:dyDescent="0.2">
      <c r="A258" s="29" t="s">
        <v>292</v>
      </c>
      <c r="B258" s="4" t="s">
        <v>21</v>
      </c>
      <c r="C258" s="4" t="s">
        <v>19</v>
      </c>
      <c r="D258" s="4" t="s">
        <v>293</v>
      </c>
      <c r="E258" s="4"/>
      <c r="F258" s="81">
        <f>F259</f>
        <v>0</v>
      </c>
      <c r="G258" s="81">
        <f>G259</f>
        <v>0</v>
      </c>
    </row>
    <row r="259" spans="1:7" s="39" customFormat="1" ht="63.75" x14ac:dyDescent="0.2">
      <c r="A259" s="30" t="s">
        <v>113</v>
      </c>
      <c r="B259" s="4" t="s">
        <v>21</v>
      </c>
      <c r="C259" s="4" t="s">
        <v>19</v>
      </c>
      <c r="D259" s="4" t="s">
        <v>294</v>
      </c>
      <c r="E259" s="4"/>
      <c r="F259" s="81">
        <f>F260</f>
        <v>0</v>
      </c>
      <c r="G259" s="81">
        <f>G260</f>
        <v>0</v>
      </c>
    </row>
    <row r="260" spans="1:7" s="39" customFormat="1" x14ac:dyDescent="0.2">
      <c r="A260" s="14" t="s">
        <v>80</v>
      </c>
      <c r="B260" s="6" t="s">
        <v>21</v>
      </c>
      <c r="C260" s="6" t="s">
        <v>19</v>
      </c>
      <c r="D260" s="6" t="s">
        <v>294</v>
      </c>
      <c r="E260" s="6" t="s">
        <v>81</v>
      </c>
      <c r="F260" s="80">
        <v>0</v>
      </c>
      <c r="G260" s="80">
        <v>0</v>
      </c>
    </row>
    <row r="261" spans="1:7" s="39" customFormat="1" x14ac:dyDescent="0.2">
      <c r="A261" s="23" t="s">
        <v>222</v>
      </c>
      <c r="B261" s="9" t="s">
        <v>21</v>
      </c>
      <c r="C261" s="9" t="s">
        <v>32</v>
      </c>
      <c r="D261" s="9"/>
      <c r="E261" s="9"/>
      <c r="F261" s="49">
        <f>F262+F269</f>
        <v>86436.799999999988</v>
      </c>
      <c r="G261" s="49">
        <f>G262+G269</f>
        <v>86436.799999999988</v>
      </c>
    </row>
    <row r="262" spans="1:7" ht="25.5" x14ac:dyDescent="0.2">
      <c r="A262" s="18" t="s">
        <v>461</v>
      </c>
      <c r="B262" s="11" t="s">
        <v>21</v>
      </c>
      <c r="C262" s="11" t="s">
        <v>32</v>
      </c>
      <c r="D262" s="11" t="s">
        <v>152</v>
      </c>
      <c r="E262" s="11"/>
      <c r="F262" s="50">
        <f>F263</f>
        <v>24665</v>
      </c>
      <c r="G262" s="50">
        <f>G263</f>
        <v>24665</v>
      </c>
    </row>
    <row r="263" spans="1:7" ht="40.5" x14ac:dyDescent="0.2">
      <c r="A263" s="41" t="s">
        <v>477</v>
      </c>
      <c r="B263" s="7" t="s">
        <v>21</v>
      </c>
      <c r="C263" s="7" t="s">
        <v>32</v>
      </c>
      <c r="D263" s="7" t="s">
        <v>153</v>
      </c>
      <c r="E263" s="7"/>
      <c r="F263" s="42">
        <f>F264</f>
        <v>24665</v>
      </c>
      <c r="G263" s="42">
        <f>G264</f>
        <v>24665</v>
      </c>
    </row>
    <row r="264" spans="1:7" ht="25.5" x14ac:dyDescent="0.2">
      <c r="A264" s="24" t="s">
        <v>154</v>
      </c>
      <c r="B264" s="4" t="s">
        <v>21</v>
      </c>
      <c r="C264" s="4" t="s">
        <v>32</v>
      </c>
      <c r="D264" s="4" t="s">
        <v>155</v>
      </c>
      <c r="E264" s="4"/>
      <c r="F264" s="5">
        <f>F265+F267</f>
        <v>24665</v>
      </c>
      <c r="G264" s="5">
        <f>G265+G267</f>
        <v>24665</v>
      </c>
    </row>
    <row r="265" spans="1:7" ht="38.25" x14ac:dyDescent="0.2">
      <c r="A265" s="22" t="s">
        <v>156</v>
      </c>
      <c r="B265" s="4" t="s">
        <v>21</v>
      </c>
      <c r="C265" s="4" t="s">
        <v>32</v>
      </c>
      <c r="D265" s="4" t="s">
        <v>157</v>
      </c>
      <c r="E265" s="4"/>
      <c r="F265" s="81">
        <f>F266</f>
        <v>10942.2</v>
      </c>
      <c r="G265" s="81">
        <f>G266</f>
        <v>10942.2</v>
      </c>
    </row>
    <row r="266" spans="1:7" ht="51" x14ac:dyDescent="0.2">
      <c r="A266" s="25" t="s">
        <v>79</v>
      </c>
      <c r="B266" s="6" t="s">
        <v>21</v>
      </c>
      <c r="C266" s="6" t="s">
        <v>32</v>
      </c>
      <c r="D266" s="6" t="s">
        <v>157</v>
      </c>
      <c r="E266" s="6" t="s">
        <v>83</v>
      </c>
      <c r="F266" s="80">
        <f>15442.2+1500+1000-7000</f>
        <v>10942.2</v>
      </c>
      <c r="G266" s="80">
        <f>15442.2+1500+1000-7000</f>
        <v>10942.2</v>
      </c>
    </row>
    <row r="267" spans="1:7" ht="76.5" x14ac:dyDescent="0.2">
      <c r="A267" s="24" t="s">
        <v>337</v>
      </c>
      <c r="B267" s="4" t="s">
        <v>21</v>
      </c>
      <c r="C267" s="4" t="s">
        <v>32</v>
      </c>
      <c r="D267" s="4" t="s">
        <v>256</v>
      </c>
      <c r="E267" s="4"/>
      <c r="F267" s="5">
        <f>F268</f>
        <v>13722.8</v>
      </c>
      <c r="G267" s="5">
        <f>G268</f>
        <v>13722.8</v>
      </c>
    </row>
    <row r="268" spans="1:7" ht="51" x14ac:dyDescent="0.2">
      <c r="A268" s="25" t="s">
        <v>79</v>
      </c>
      <c r="B268" s="6" t="s">
        <v>21</v>
      </c>
      <c r="C268" s="6" t="s">
        <v>32</v>
      </c>
      <c r="D268" s="6" t="s">
        <v>256</v>
      </c>
      <c r="E268" s="6" t="s">
        <v>83</v>
      </c>
      <c r="F268" s="80">
        <v>13722.8</v>
      </c>
      <c r="G268" s="80">
        <v>13722.8</v>
      </c>
    </row>
    <row r="269" spans="1:7" s="39" customFormat="1" ht="25.5" x14ac:dyDescent="0.2">
      <c r="A269" s="34" t="s">
        <v>463</v>
      </c>
      <c r="B269" s="11" t="s">
        <v>21</v>
      </c>
      <c r="C269" s="11" t="s">
        <v>32</v>
      </c>
      <c r="D269" s="11" t="s">
        <v>174</v>
      </c>
      <c r="E269" s="11"/>
      <c r="F269" s="50">
        <f>F270</f>
        <v>61771.799999999996</v>
      </c>
      <c r="G269" s="50">
        <f>G270</f>
        <v>61771.799999999996</v>
      </c>
    </row>
    <row r="270" spans="1:7" s="39" customFormat="1" ht="27" x14ac:dyDescent="0.2">
      <c r="A270" s="31" t="s">
        <v>478</v>
      </c>
      <c r="B270" s="7" t="s">
        <v>21</v>
      </c>
      <c r="C270" s="7" t="s">
        <v>32</v>
      </c>
      <c r="D270" s="7" t="s">
        <v>191</v>
      </c>
      <c r="E270" s="7"/>
      <c r="F270" s="42">
        <f>F271</f>
        <v>61771.799999999996</v>
      </c>
      <c r="G270" s="42">
        <f>G271</f>
        <v>61771.799999999996</v>
      </c>
    </row>
    <row r="271" spans="1:7" s="39" customFormat="1" ht="38.25" x14ac:dyDescent="0.2">
      <c r="A271" s="30" t="s">
        <v>182</v>
      </c>
      <c r="B271" s="4" t="s">
        <v>21</v>
      </c>
      <c r="C271" s="4" t="s">
        <v>32</v>
      </c>
      <c r="D271" s="4" t="s">
        <v>192</v>
      </c>
      <c r="E271" s="4"/>
      <c r="F271" s="5">
        <f>F272+F275</f>
        <v>61771.799999999996</v>
      </c>
      <c r="G271" s="5">
        <f>G272+G275</f>
        <v>61771.799999999996</v>
      </c>
    </row>
    <row r="272" spans="1:7" s="39" customFormat="1" ht="38.25" x14ac:dyDescent="0.2">
      <c r="A272" s="30" t="s">
        <v>193</v>
      </c>
      <c r="B272" s="4" t="s">
        <v>21</v>
      </c>
      <c r="C272" s="4" t="s">
        <v>32</v>
      </c>
      <c r="D272" s="4" t="s">
        <v>194</v>
      </c>
      <c r="E272" s="4"/>
      <c r="F272" s="5">
        <f>F273+F274</f>
        <v>31511.1</v>
      </c>
      <c r="G272" s="5">
        <f>G273+G274</f>
        <v>31511.1</v>
      </c>
    </row>
    <row r="273" spans="1:7" s="39" customFormat="1" ht="51" x14ac:dyDescent="0.2">
      <c r="A273" s="25" t="s">
        <v>78</v>
      </c>
      <c r="B273" s="6" t="s">
        <v>21</v>
      </c>
      <c r="C273" s="6" t="s">
        <v>32</v>
      </c>
      <c r="D273" s="6" t="s">
        <v>194</v>
      </c>
      <c r="E273" s="6" t="s">
        <v>84</v>
      </c>
      <c r="F273" s="20">
        <f>8525.8+179.8+3000</f>
        <v>11705.599999999999</v>
      </c>
      <c r="G273" s="20">
        <f>8525.8+179.8+3000</f>
        <v>11705.599999999999</v>
      </c>
    </row>
    <row r="274" spans="1:7" s="39" customFormat="1" ht="51" x14ac:dyDescent="0.2">
      <c r="A274" s="14" t="s">
        <v>79</v>
      </c>
      <c r="B274" s="6" t="s">
        <v>21</v>
      </c>
      <c r="C274" s="6" t="s">
        <v>32</v>
      </c>
      <c r="D274" s="6" t="s">
        <v>194</v>
      </c>
      <c r="E274" s="6" t="s">
        <v>83</v>
      </c>
      <c r="F274" s="20">
        <f>15665+340.5+3800</f>
        <v>19805.5</v>
      </c>
      <c r="G274" s="20">
        <f>15665+340.5+3800</f>
        <v>19805.5</v>
      </c>
    </row>
    <row r="275" spans="1:7" s="39" customFormat="1" ht="38.25" x14ac:dyDescent="0.2">
      <c r="A275" s="17" t="s">
        <v>111</v>
      </c>
      <c r="B275" s="4" t="s">
        <v>21</v>
      </c>
      <c r="C275" s="4" t="s">
        <v>32</v>
      </c>
      <c r="D275" s="4" t="s">
        <v>266</v>
      </c>
      <c r="E275" s="4"/>
      <c r="F275" s="5">
        <f>F276+F277</f>
        <v>30260.699999999997</v>
      </c>
      <c r="G275" s="5">
        <f>G276+G277</f>
        <v>30260.699999999997</v>
      </c>
    </row>
    <row r="276" spans="1:7" s="39" customFormat="1" ht="51" x14ac:dyDescent="0.2">
      <c r="A276" s="25" t="s">
        <v>78</v>
      </c>
      <c r="B276" s="6" t="s">
        <v>21</v>
      </c>
      <c r="C276" s="6" t="s">
        <v>32</v>
      </c>
      <c r="D276" s="6" t="s">
        <v>266</v>
      </c>
      <c r="E276" s="6" t="s">
        <v>84</v>
      </c>
      <c r="F276" s="80">
        <f>7262.6</f>
        <v>7262.6</v>
      </c>
      <c r="G276" s="80">
        <f>7262.6</f>
        <v>7262.6</v>
      </c>
    </row>
    <row r="277" spans="1:7" s="39" customFormat="1" ht="51" x14ac:dyDescent="0.2">
      <c r="A277" s="14" t="s">
        <v>79</v>
      </c>
      <c r="B277" s="6" t="s">
        <v>21</v>
      </c>
      <c r="C277" s="6" t="s">
        <v>32</v>
      </c>
      <c r="D277" s="6" t="s">
        <v>266</v>
      </c>
      <c r="E277" s="6" t="s">
        <v>83</v>
      </c>
      <c r="F277" s="80">
        <v>22998.1</v>
      </c>
      <c r="G277" s="80">
        <v>22998.1</v>
      </c>
    </row>
    <row r="278" spans="1:7" s="39" customFormat="1" ht="25.5" x14ac:dyDescent="0.2">
      <c r="A278" s="23" t="s">
        <v>8</v>
      </c>
      <c r="B278" s="73" t="s">
        <v>21</v>
      </c>
      <c r="C278" s="73" t="s">
        <v>22</v>
      </c>
      <c r="D278" s="23"/>
      <c r="E278" s="23"/>
      <c r="F278" s="49">
        <f>F279</f>
        <v>407.2</v>
      </c>
      <c r="G278" s="49">
        <f>G279</f>
        <v>407.2</v>
      </c>
    </row>
    <row r="279" spans="1:7" s="39" customFormat="1" ht="25.5" x14ac:dyDescent="0.2">
      <c r="A279" s="34" t="s">
        <v>463</v>
      </c>
      <c r="B279" s="11" t="s">
        <v>21</v>
      </c>
      <c r="C279" s="11" t="s">
        <v>22</v>
      </c>
      <c r="D279" s="11" t="s">
        <v>174</v>
      </c>
      <c r="E279" s="11"/>
      <c r="F279" s="50">
        <f>F280</f>
        <v>407.2</v>
      </c>
      <c r="G279" s="50">
        <f>G280</f>
        <v>407.2</v>
      </c>
    </row>
    <row r="280" spans="1:7" s="39" customFormat="1" ht="27" x14ac:dyDescent="0.2">
      <c r="A280" s="31" t="s">
        <v>476</v>
      </c>
      <c r="B280" s="7" t="s">
        <v>21</v>
      </c>
      <c r="C280" s="7" t="s">
        <v>22</v>
      </c>
      <c r="D280" s="7" t="s">
        <v>181</v>
      </c>
      <c r="E280" s="7"/>
      <c r="F280" s="42">
        <f>F282</f>
        <v>407.2</v>
      </c>
      <c r="G280" s="42">
        <f>G282</f>
        <v>407.2</v>
      </c>
    </row>
    <row r="281" spans="1:7" s="39" customFormat="1" ht="25.5" x14ac:dyDescent="0.2">
      <c r="A281" s="30" t="s">
        <v>187</v>
      </c>
      <c r="B281" s="4" t="s">
        <v>21</v>
      </c>
      <c r="C281" s="4" t="s">
        <v>22</v>
      </c>
      <c r="D281" s="4" t="s">
        <v>183</v>
      </c>
      <c r="E281" s="4"/>
      <c r="F281" s="5">
        <f>F282</f>
        <v>407.2</v>
      </c>
      <c r="G281" s="5">
        <f>G282</f>
        <v>407.2</v>
      </c>
    </row>
    <row r="282" spans="1:7" s="39" customFormat="1" ht="38.25" x14ac:dyDescent="0.2">
      <c r="A282" s="24" t="s">
        <v>316</v>
      </c>
      <c r="B282" s="4" t="s">
        <v>21</v>
      </c>
      <c r="C282" s="4" t="s">
        <v>22</v>
      </c>
      <c r="D282" s="4" t="s">
        <v>9</v>
      </c>
      <c r="E282" s="4"/>
      <c r="F282" s="5">
        <f>F283</f>
        <v>407.2</v>
      </c>
      <c r="G282" s="5">
        <f>G283</f>
        <v>407.2</v>
      </c>
    </row>
    <row r="283" spans="1:7" s="39" customFormat="1" x14ac:dyDescent="0.2">
      <c r="A283" s="25" t="s">
        <v>80</v>
      </c>
      <c r="B283" s="6" t="s">
        <v>21</v>
      </c>
      <c r="C283" s="6" t="s">
        <v>22</v>
      </c>
      <c r="D283" s="6" t="s">
        <v>9</v>
      </c>
      <c r="E283" s="6" t="s">
        <v>81</v>
      </c>
      <c r="F283" s="80">
        <f>395+12.2</f>
        <v>407.2</v>
      </c>
      <c r="G283" s="80">
        <f>395+12.2</f>
        <v>407.2</v>
      </c>
    </row>
    <row r="284" spans="1:7" s="39" customFormat="1" x14ac:dyDescent="0.2">
      <c r="A284" s="23" t="s">
        <v>453</v>
      </c>
      <c r="B284" s="9" t="s">
        <v>21</v>
      </c>
      <c r="C284" s="9" t="s">
        <v>21</v>
      </c>
      <c r="D284" s="9"/>
      <c r="E284" s="9"/>
      <c r="F284" s="49">
        <f>F294+F290+F285</f>
        <v>16064</v>
      </c>
      <c r="G284" s="49">
        <f>G294+G290+G285</f>
        <v>16064</v>
      </c>
    </row>
    <row r="285" spans="1:7" s="39" customFormat="1" ht="38.25" x14ac:dyDescent="0.2">
      <c r="A285" s="34" t="s">
        <v>462</v>
      </c>
      <c r="B285" s="11" t="s">
        <v>21</v>
      </c>
      <c r="C285" s="11" t="s">
        <v>21</v>
      </c>
      <c r="D285" s="90" t="s">
        <v>173</v>
      </c>
      <c r="E285" s="90"/>
      <c r="F285" s="82">
        <f>F286</f>
        <v>103</v>
      </c>
      <c r="G285" s="82">
        <f t="shared" ref="F285:G288" si="19">G286</f>
        <v>103</v>
      </c>
    </row>
    <row r="286" spans="1:7" s="39" customFormat="1" ht="27" x14ac:dyDescent="0.2">
      <c r="A286" s="31" t="s">
        <v>479</v>
      </c>
      <c r="B286" s="7" t="s">
        <v>21</v>
      </c>
      <c r="C286" s="7" t="s">
        <v>21</v>
      </c>
      <c r="D286" s="7" t="s">
        <v>275</v>
      </c>
      <c r="E286" s="7"/>
      <c r="F286" s="83">
        <f>F287</f>
        <v>103</v>
      </c>
      <c r="G286" s="83">
        <f>G287</f>
        <v>103</v>
      </c>
    </row>
    <row r="287" spans="1:7" s="39" customFormat="1" ht="38.25" x14ac:dyDescent="0.2">
      <c r="A287" s="30" t="s">
        <v>393</v>
      </c>
      <c r="B287" s="4" t="s">
        <v>21</v>
      </c>
      <c r="C287" s="4" t="s">
        <v>21</v>
      </c>
      <c r="D287" s="4" t="s">
        <v>340</v>
      </c>
      <c r="E287" s="6"/>
      <c r="F287" s="81">
        <f>F288</f>
        <v>103</v>
      </c>
      <c r="G287" s="81">
        <f t="shared" si="19"/>
        <v>103</v>
      </c>
    </row>
    <row r="288" spans="1:7" s="39" customFormat="1" ht="25.5" x14ac:dyDescent="0.2">
      <c r="A288" s="30" t="s">
        <v>339</v>
      </c>
      <c r="B288" s="4" t="s">
        <v>21</v>
      </c>
      <c r="C288" s="4" t="s">
        <v>21</v>
      </c>
      <c r="D288" s="4" t="s">
        <v>446</v>
      </c>
      <c r="E288" s="6"/>
      <c r="F288" s="81">
        <f t="shared" si="19"/>
        <v>103</v>
      </c>
      <c r="G288" s="81">
        <f t="shared" si="19"/>
        <v>103</v>
      </c>
    </row>
    <row r="289" spans="1:7" s="39" customFormat="1" ht="25.5" x14ac:dyDescent="0.2">
      <c r="A289" s="15" t="s">
        <v>93</v>
      </c>
      <c r="B289" s="6" t="s">
        <v>21</v>
      </c>
      <c r="C289" s="6" t="s">
        <v>21</v>
      </c>
      <c r="D289" s="4" t="s">
        <v>446</v>
      </c>
      <c r="E289" s="6" t="s">
        <v>67</v>
      </c>
      <c r="F289" s="102">
        <f>100+3</f>
        <v>103</v>
      </c>
      <c r="G289" s="102">
        <f>100+3</f>
        <v>103</v>
      </c>
    </row>
    <row r="290" spans="1:7" ht="27" x14ac:dyDescent="0.2">
      <c r="A290" s="41" t="s">
        <v>480</v>
      </c>
      <c r="B290" s="7" t="s">
        <v>21</v>
      </c>
      <c r="C290" s="7" t="s">
        <v>21</v>
      </c>
      <c r="D290" s="7" t="s">
        <v>287</v>
      </c>
      <c r="E290" s="11"/>
      <c r="F290" s="54">
        <f t="shared" ref="F290:G292" si="20">F291</f>
        <v>2674.6</v>
      </c>
      <c r="G290" s="54">
        <f t="shared" si="20"/>
        <v>2674.6</v>
      </c>
    </row>
    <row r="291" spans="1:7" s="40" customFormat="1" ht="38.25" x14ac:dyDescent="0.2">
      <c r="A291" s="24" t="s">
        <v>394</v>
      </c>
      <c r="B291" s="4" t="s">
        <v>21</v>
      </c>
      <c r="C291" s="4" t="s">
        <v>21</v>
      </c>
      <c r="D291" s="4" t="s">
        <v>288</v>
      </c>
      <c r="E291" s="4"/>
      <c r="F291" s="5">
        <f t="shared" si="20"/>
        <v>2674.6</v>
      </c>
      <c r="G291" s="5">
        <f t="shared" si="20"/>
        <v>2674.6</v>
      </c>
    </row>
    <row r="292" spans="1:7" s="39" customFormat="1" ht="38.25" x14ac:dyDescent="0.2">
      <c r="A292" s="24" t="s">
        <v>260</v>
      </c>
      <c r="B292" s="4" t="s">
        <v>21</v>
      </c>
      <c r="C292" s="4" t="s">
        <v>21</v>
      </c>
      <c r="D292" s="4" t="s">
        <v>295</v>
      </c>
      <c r="E292" s="4"/>
      <c r="F292" s="20">
        <f t="shared" si="20"/>
        <v>2674.6</v>
      </c>
      <c r="G292" s="20">
        <f t="shared" si="20"/>
        <v>2674.6</v>
      </c>
    </row>
    <row r="293" spans="1:7" ht="51" x14ac:dyDescent="0.2">
      <c r="A293" s="15" t="s">
        <v>79</v>
      </c>
      <c r="B293" s="6" t="s">
        <v>21</v>
      </c>
      <c r="C293" s="6" t="s">
        <v>21</v>
      </c>
      <c r="D293" s="6" t="s">
        <v>295</v>
      </c>
      <c r="E293" s="4" t="s">
        <v>83</v>
      </c>
      <c r="F293" s="80">
        <f>1674.6+1000</f>
        <v>2674.6</v>
      </c>
      <c r="G293" s="80">
        <f>1674.6+1000</f>
        <v>2674.6</v>
      </c>
    </row>
    <row r="294" spans="1:7" s="39" customFormat="1" ht="25.5" x14ac:dyDescent="0.2">
      <c r="A294" s="34" t="s">
        <v>463</v>
      </c>
      <c r="B294" s="11" t="s">
        <v>21</v>
      </c>
      <c r="C294" s="11" t="s">
        <v>21</v>
      </c>
      <c r="D294" s="11" t="s">
        <v>195</v>
      </c>
      <c r="E294" s="11"/>
      <c r="F294" s="50">
        <f>F295</f>
        <v>13286.4</v>
      </c>
      <c r="G294" s="50">
        <f>G295</f>
        <v>13286.4</v>
      </c>
    </row>
    <row r="295" spans="1:7" s="39" customFormat="1" ht="27" x14ac:dyDescent="0.2">
      <c r="A295" s="31" t="s">
        <v>481</v>
      </c>
      <c r="B295" s="7" t="s">
        <v>21</v>
      </c>
      <c r="C295" s="7" t="s">
        <v>21</v>
      </c>
      <c r="D295" s="7" t="s">
        <v>196</v>
      </c>
      <c r="E295" s="7"/>
      <c r="F295" s="42">
        <f>F296</f>
        <v>13286.4</v>
      </c>
      <c r="G295" s="42">
        <f>G296</f>
        <v>13286.4</v>
      </c>
    </row>
    <row r="296" spans="1:7" s="39" customFormat="1" ht="25.5" x14ac:dyDescent="0.2">
      <c r="A296" s="30" t="s">
        <v>197</v>
      </c>
      <c r="B296" s="4" t="s">
        <v>21</v>
      </c>
      <c r="C296" s="4" t="s">
        <v>21</v>
      </c>
      <c r="D296" s="4" t="s">
        <v>198</v>
      </c>
      <c r="E296" s="11"/>
      <c r="F296" s="5">
        <f>F297+F299+F301</f>
        <v>13286.4</v>
      </c>
      <c r="G296" s="5">
        <f>G297+G299+G301</f>
        <v>13286.4</v>
      </c>
    </row>
    <row r="297" spans="1:7" s="39" customFormat="1" ht="25.5" x14ac:dyDescent="0.2">
      <c r="A297" s="24" t="s">
        <v>109</v>
      </c>
      <c r="B297" s="4" t="s">
        <v>21</v>
      </c>
      <c r="C297" s="4" t="s">
        <v>21</v>
      </c>
      <c r="D297" s="4" t="s">
        <v>199</v>
      </c>
      <c r="E297" s="4"/>
      <c r="F297" s="5">
        <f>F298</f>
        <v>6191</v>
      </c>
      <c r="G297" s="5">
        <f>G298</f>
        <v>6191</v>
      </c>
    </row>
    <row r="298" spans="1:7" s="39" customFormat="1" ht="25.5" x14ac:dyDescent="0.2">
      <c r="A298" s="14" t="s">
        <v>296</v>
      </c>
      <c r="B298" s="6" t="s">
        <v>21</v>
      </c>
      <c r="C298" s="6" t="s">
        <v>21</v>
      </c>
      <c r="D298" s="6" t="s">
        <v>199</v>
      </c>
      <c r="E298" s="6" t="s">
        <v>297</v>
      </c>
      <c r="F298" s="80">
        <v>6191</v>
      </c>
      <c r="G298" s="80">
        <v>6191</v>
      </c>
    </row>
    <row r="299" spans="1:7" s="39" customFormat="1" ht="25.5" x14ac:dyDescent="0.2">
      <c r="A299" s="17" t="s">
        <v>223</v>
      </c>
      <c r="B299" s="4" t="s">
        <v>21</v>
      </c>
      <c r="C299" s="4" t="s">
        <v>21</v>
      </c>
      <c r="D299" s="4" t="s">
        <v>200</v>
      </c>
      <c r="E299" s="4"/>
      <c r="F299" s="81">
        <f>F300</f>
        <v>7002.5</v>
      </c>
      <c r="G299" s="81">
        <f>G300</f>
        <v>7002.5</v>
      </c>
    </row>
    <row r="300" spans="1:7" s="39" customFormat="1" ht="25.5" x14ac:dyDescent="0.2">
      <c r="A300" s="14" t="s">
        <v>296</v>
      </c>
      <c r="B300" s="6" t="s">
        <v>21</v>
      </c>
      <c r="C300" s="6" t="s">
        <v>21</v>
      </c>
      <c r="D300" s="6" t="s">
        <v>200</v>
      </c>
      <c r="E300" s="6" t="s">
        <v>297</v>
      </c>
      <c r="F300" s="80">
        <v>7002.5</v>
      </c>
      <c r="G300" s="80">
        <v>7002.5</v>
      </c>
    </row>
    <row r="301" spans="1:7" s="39" customFormat="1" ht="38.25" x14ac:dyDescent="0.2">
      <c r="A301" s="24" t="s">
        <v>224</v>
      </c>
      <c r="B301" s="4" t="s">
        <v>21</v>
      </c>
      <c r="C301" s="4" t="s">
        <v>21</v>
      </c>
      <c r="D301" s="4" t="s">
        <v>227</v>
      </c>
      <c r="E301" s="4"/>
      <c r="F301" s="81">
        <f>F302+F303</f>
        <v>92.899999999999991</v>
      </c>
      <c r="G301" s="81">
        <f>G302+G303</f>
        <v>92.899999999999991</v>
      </c>
    </row>
    <row r="302" spans="1:7" s="39" customFormat="1" x14ac:dyDescent="0.2">
      <c r="A302" s="37" t="s">
        <v>218</v>
      </c>
      <c r="B302" s="6" t="s">
        <v>21</v>
      </c>
      <c r="C302" s="6" t="s">
        <v>21</v>
      </c>
      <c r="D302" s="6" t="s">
        <v>227</v>
      </c>
      <c r="E302" s="6" t="s">
        <v>95</v>
      </c>
      <c r="F302" s="80">
        <v>71.349999999999994</v>
      </c>
      <c r="G302" s="80">
        <v>71.349999999999994</v>
      </c>
    </row>
    <row r="303" spans="1:7" s="39" customFormat="1" ht="38.25" x14ac:dyDescent="0.2">
      <c r="A303" s="14" t="s">
        <v>215</v>
      </c>
      <c r="B303" s="6" t="s">
        <v>21</v>
      </c>
      <c r="C303" s="6" t="s">
        <v>21</v>
      </c>
      <c r="D303" s="6" t="s">
        <v>227</v>
      </c>
      <c r="E303" s="6" t="s">
        <v>139</v>
      </c>
      <c r="F303" s="80">
        <v>21.55</v>
      </c>
      <c r="G303" s="80">
        <v>21.55</v>
      </c>
    </row>
    <row r="304" spans="1:7" s="39" customFormat="1" x14ac:dyDescent="0.2">
      <c r="A304" s="27" t="s">
        <v>14</v>
      </c>
      <c r="B304" s="9" t="s">
        <v>21</v>
      </c>
      <c r="C304" s="9" t="s">
        <v>23</v>
      </c>
      <c r="D304" s="9"/>
      <c r="E304" s="9"/>
      <c r="F304" s="49">
        <f>F305</f>
        <v>17340.500500000002</v>
      </c>
      <c r="G304" s="49">
        <f>G305</f>
        <v>17340.499900000003</v>
      </c>
    </row>
    <row r="305" spans="1:7" s="39" customFormat="1" ht="25.5" x14ac:dyDescent="0.2">
      <c r="A305" s="34" t="s">
        <v>463</v>
      </c>
      <c r="B305" s="11" t="s">
        <v>21</v>
      </c>
      <c r="C305" s="11" t="s">
        <v>23</v>
      </c>
      <c r="D305" s="11" t="s">
        <v>174</v>
      </c>
      <c r="E305" s="11"/>
      <c r="F305" s="50">
        <f>F311+F306+F326</f>
        <v>17340.500500000002</v>
      </c>
      <c r="G305" s="50">
        <f>G311+G306+G326</f>
        <v>17340.499900000003</v>
      </c>
    </row>
    <row r="306" spans="1:7" s="39" customFormat="1" ht="27" x14ac:dyDescent="0.2">
      <c r="A306" s="31" t="s">
        <v>482</v>
      </c>
      <c r="B306" s="7" t="s">
        <v>21</v>
      </c>
      <c r="C306" s="7" t="s">
        <v>23</v>
      </c>
      <c r="D306" s="7" t="s">
        <v>196</v>
      </c>
      <c r="E306" s="7"/>
      <c r="F306" s="42">
        <f>F307</f>
        <v>105</v>
      </c>
      <c r="G306" s="42">
        <f>G307</f>
        <v>105</v>
      </c>
    </row>
    <row r="307" spans="1:7" s="39" customFormat="1" ht="25.5" x14ac:dyDescent="0.2">
      <c r="A307" s="30" t="s">
        <v>197</v>
      </c>
      <c r="B307" s="4" t="s">
        <v>21</v>
      </c>
      <c r="C307" s="4" t="s">
        <v>23</v>
      </c>
      <c r="D307" s="4" t="s">
        <v>198</v>
      </c>
      <c r="E307" s="11"/>
      <c r="F307" s="5">
        <f>F308</f>
        <v>105</v>
      </c>
      <c r="G307" s="5">
        <f>G308</f>
        <v>105</v>
      </c>
    </row>
    <row r="308" spans="1:7" s="39" customFormat="1" ht="38.25" x14ac:dyDescent="0.2">
      <c r="A308" s="17" t="s">
        <v>220</v>
      </c>
      <c r="B308" s="4" t="s">
        <v>21</v>
      </c>
      <c r="C308" s="4" t="s">
        <v>23</v>
      </c>
      <c r="D308" s="4" t="s">
        <v>219</v>
      </c>
      <c r="E308" s="4"/>
      <c r="F308" s="81">
        <f>F309+F310</f>
        <v>105</v>
      </c>
      <c r="G308" s="81">
        <f>G309+G310</f>
        <v>105</v>
      </c>
    </row>
    <row r="309" spans="1:7" s="39" customFormat="1" x14ac:dyDescent="0.2">
      <c r="A309" s="37" t="s">
        <v>218</v>
      </c>
      <c r="B309" s="6" t="s">
        <v>21</v>
      </c>
      <c r="C309" s="6" t="s">
        <v>23</v>
      </c>
      <c r="D309" s="6" t="s">
        <v>219</v>
      </c>
      <c r="E309" s="6" t="s">
        <v>95</v>
      </c>
      <c r="F309" s="80">
        <v>80.644999999999996</v>
      </c>
      <c r="G309" s="80">
        <v>80.644999999999996</v>
      </c>
    </row>
    <row r="310" spans="1:7" s="39" customFormat="1" ht="38.25" x14ac:dyDescent="0.2">
      <c r="A310" s="14" t="s">
        <v>215</v>
      </c>
      <c r="B310" s="6" t="s">
        <v>21</v>
      </c>
      <c r="C310" s="6" t="s">
        <v>23</v>
      </c>
      <c r="D310" s="6" t="s">
        <v>219</v>
      </c>
      <c r="E310" s="6" t="s">
        <v>139</v>
      </c>
      <c r="F310" s="80">
        <v>24.355</v>
      </c>
      <c r="G310" s="80">
        <v>24.355</v>
      </c>
    </row>
    <row r="311" spans="1:7" s="39" customFormat="1" ht="27" x14ac:dyDescent="0.2">
      <c r="A311" s="31" t="s">
        <v>483</v>
      </c>
      <c r="B311" s="11" t="s">
        <v>21</v>
      </c>
      <c r="C311" s="11" t="s">
        <v>23</v>
      </c>
      <c r="D311" s="11" t="s">
        <v>201</v>
      </c>
      <c r="E311" s="11"/>
      <c r="F311" s="50">
        <f>F312</f>
        <v>16937.500500000002</v>
      </c>
      <c r="G311" s="50">
        <f>G312</f>
        <v>16937.499900000003</v>
      </c>
    </row>
    <row r="312" spans="1:7" s="39" customFormat="1" ht="25.5" x14ac:dyDescent="0.2">
      <c r="A312" s="30" t="s">
        <v>202</v>
      </c>
      <c r="B312" s="4" t="s">
        <v>21</v>
      </c>
      <c r="C312" s="4" t="s">
        <v>23</v>
      </c>
      <c r="D312" s="4" t="s">
        <v>203</v>
      </c>
      <c r="E312" s="4"/>
      <c r="F312" s="5">
        <f>F315+F318+F313</f>
        <v>16937.500500000002</v>
      </c>
      <c r="G312" s="5">
        <f>G315+G318+G313</f>
        <v>16937.499900000003</v>
      </c>
    </row>
    <row r="313" spans="1:7" s="39" customFormat="1" ht="89.25" x14ac:dyDescent="0.2">
      <c r="A313" s="24" t="s">
        <v>55</v>
      </c>
      <c r="B313" s="4" t="s">
        <v>21</v>
      </c>
      <c r="C313" s="4" t="s">
        <v>23</v>
      </c>
      <c r="D313" s="4" t="s">
        <v>206</v>
      </c>
      <c r="E313" s="4"/>
      <c r="F313" s="5">
        <f>F314</f>
        <v>83.5</v>
      </c>
      <c r="G313" s="5">
        <f>G314</f>
        <v>83.5</v>
      </c>
    </row>
    <row r="314" spans="1:7" s="39" customFormat="1" ht="25.5" x14ac:dyDescent="0.2">
      <c r="A314" s="14" t="s">
        <v>66</v>
      </c>
      <c r="B314" s="6" t="s">
        <v>21</v>
      </c>
      <c r="C314" s="6" t="s">
        <v>23</v>
      </c>
      <c r="D314" s="6" t="s">
        <v>206</v>
      </c>
      <c r="E314" s="6" t="s">
        <v>67</v>
      </c>
      <c r="F314" s="80">
        <v>83.5</v>
      </c>
      <c r="G314" s="80">
        <v>83.5</v>
      </c>
    </row>
    <row r="315" spans="1:7" s="39" customFormat="1" ht="25.5" x14ac:dyDescent="0.2">
      <c r="A315" s="30" t="s">
        <v>92</v>
      </c>
      <c r="B315" s="4" t="s">
        <v>21</v>
      </c>
      <c r="C315" s="4" t="s">
        <v>23</v>
      </c>
      <c r="D315" s="4" t="s">
        <v>217</v>
      </c>
      <c r="E315" s="4"/>
      <c r="F315" s="81">
        <f>F316+F317</f>
        <v>1434</v>
      </c>
      <c r="G315" s="81">
        <f>G316+G317</f>
        <v>1434</v>
      </c>
    </row>
    <row r="316" spans="1:7" s="39" customFormat="1" ht="25.5" x14ac:dyDescent="0.2">
      <c r="A316" s="37" t="s">
        <v>121</v>
      </c>
      <c r="B316" s="6" t="s">
        <v>21</v>
      </c>
      <c r="C316" s="6" t="s">
        <v>23</v>
      </c>
      <c r="D316" s="6" t="s">
        <v>217</v>
      </c>
      <c r="E316" s="6" t="s">
        <v>63</v>
      </c>
      <c r="F316" s="20">
        <v>1101.4000000000001</v>
      </c>
      <c r="G316" s="20">
        <v>1101.4000000000001</v>
      </c>
    </row>
    <row r="317" spans="1:7" ht="38.25" x14ac:dyDescent="0.2">
      <c r="A317" s="14" t="s">
        <v>122</v>
      </c>
      <c r="B317" s="6" t="s">
        <v>21</v>
      </c>
      <c r="C317" s="6" t="s">
        <v>23</v>
      </c>
      <c r="D317" s="6" t="s">
        <v>217</v>
      </c>
      <c r="E317" s="6" t="s">
        <v>115</v>
      </c>
      <c r="F317" s="20">
        <v>332.6</v>
      </c>
      <c r="G317" s="20">
        <v>332.6</v>
      </c>
    </row>
    <row r="318" spans="1:7" ht="51" x14ac:dyDescent="0.2">
      <c r="A318" s="24" t="s">
        <v>204</v>
      </c>
      <c r="B318" s="4" t="s">
        <v>21</v>
      </c>
      <c r="C318" s="4" t="s">
        <v>23</v>
      </c>
      <c r="D318" s="4" t="s">
        <v>205</v>
      </c>
      <c r="E318" s="4"/>
      <c r="F318" s="5">
        <f>SUM(F319:F325)</f>
        <v>15420.0005</v>
      </c>
      <c r="G318" s="5">
        <f>SUM(G319:G325)</f>
        <v>15419.999900000001</v>
      </c>
    </row>
    <row r="319" spans="1:7" x14ac:dyDescent="0.2">
      <c r="A319" s="37" t="s">
        <v>214</v>
      </c>
      <c r="B319" s="6" t="s">
        <v>21</v>
      </c>
      <c r="C319" s="6" t="s">
        <v>23</v>
      </c>
      <c r="D319" s="6" t="s">
        <v>205</v>
      </c>
      <c r="E319" s="6" t="s">
        <v>95</v>
      </c>
      <c r="F319" s="20">
        <f>1969.3+1082.2+7700</f>
        <v>10751.5</v>
      </c>
      <c r="G319" s="20">
        <f>1969.3+1082.2+7700</f>
        <v>10751.5</v>
      </c>
    </row>
    <row r="320" spans="1:7" ht="38.25" x14ac:dyDescent="0.2">
      <c r="A320" s="14" t="s">
        <v>215</v>
      </c>
      <c r="B320" s="6" t="s">
        <v>21</v>
      </c>
      <c r="C320" s="6" t="s">
        <v>23</v>
      </c>
      <c r="D320" s="6" t="s">
        <v>205</v>
      </c>
      <c r="E320" s="6" t="s">
        <v>139</v>
      </c>
      <c r="F320" s="20">
        <f>594.7+326.8+2300</f>
        <v>3221.5</v>
      </c>
      <c r="G320" s="20">
        <f>594.7+326.8+2300</f>
        <v>3221.5</v>
      </c>
    </row>
    <row r="321" spans="1:7" ht="25.5" x14ac:dyDescent="0.2">
      <c r="A321" s="97" t="s">
        <v>400</v>
      </c>
      <c r="B321" s="6" t="s">
        <v>21</v>
      </c>
      <c r="C321" s="6" t="s">
        <v>23</v>
      </c>
      <c r="D321" s="6" t="s">
        <v>205</v>
      </c>
      <c r="E321" s="6" t="s">
        <v>65</v>
      </c>
      <c r="F321" s="20">
        <v>200</v>
      </c>
      <c r="G321" s="20">
        <v>200</v>
      </c>
    </row>
    <row r="322" spans="1:7" ht="25.5" x14ac:dyDescent="0.2">
      <c r="A322" s="14" t="s">
        <v>66</v>
      </c>
      <c r="B322" s="6" t="s">
        <v>21</v>
      </c>
      <c r="C322" s="6" t="s">
        <v>23</v>
      </c>
      <c r="D322" s="6" t="s">
        <v>205</v>
      </c>
      <c r="E322" s="6" t="s">
        <v>67</v>
      </c>
      <c r="F322" s="20">
        <f>300+0.0005</f>
        <v>300.00049999999999</v>
      </c>
      <c r="G322" s="20">
        <f>300-0.0001</f>
        <v>299.99990000000003</v>
      </c>
    </row>
    <row r="323" spans="1:7" s="39" customFormat="1" x14ac:dyDescent="0.2">
      <c r="A323" s="14" t="s">
        <v>331</v>
      </c>
      <c r="B323" s="6" t="s">
        <v>21</v>
      </c>
      <c r="C323" s="6" t="s">
        <v>23</v>
      </c>
      <c r="D323" s="6" t="s">
        <v>205</v>
      </c>
      <c r="E323" s="6" t="s">
        <v>330</v>
      </c>
      <c r="F323" s="20">
        <v>903.1</v>
      </c>
      <c r="G323" s="20">
        <v>903.1</v>
      </c>
    </row>
    <row r="324" spans="1:7" s="39" customFormat="1" ht="25.5" x14ac:dyDescent="0.2">
      <c r="A324" s="14" t="s">
        <v>68</v>
      </c>
      <c r="B324" s="6" t="s">
        <v>21</v>
      </c>
      <c r="C324" s="6" t="s">
        <v>23</v>
      </c>
      <c r="D324" s="6" t="s">
        <v>205</v>
      </c>
      <c r="E324" s="6" t="s">
        <v>69</v>
      </c>
      <c r="F324" s="20">
        <v>17.100000000000001</v>
      </c>
      <c r="G324" s="20">
        <v>17.100000000000001</v>
      </c>
    </row>
    <row r="325" spans="1:7" s="39" customFormat="1" x14ac:dyDescent="0.2">
      <c r="A325" s="14" t="s">
        <v>140</v>
      </c>
      <c r="B325" s="6" t="s">
        <v>21</v>
      </c>
      <c r="C325" s="6" t="s">
        <v>23</v>
      </c>
      <c r="D325" s="6" t="s">
        <v>205</v>
      </c>
      <c r="E325" s="6" t="s">
        <v>70</v>
      </c>
      <c r="F325" s="20">
        <v>26.8</v>
      </c>
      <c r="G325" s="20">
        <v>26.8</v>
      </c>
    </row>
    <row r="326" spans="1:7" ht="13.5" x14ac:dyDescent="0.2">
      <c r="A326" s="59" t="s">
        <v>484</v>
      </c>
      <c r="B326" s="11" t="s">
        <v>21</v>
      </c>
      <c r="C326" s="11" t="s">
        <v>23</v>
      </c>
      <c r="D326" s="11" t="s">
        <v>233</v>
      </c>
      <c r="E326" s="11"/>
      <c r="F326" s="50">
        <f>F327+F330</f>
        <v>298</v>
      </c>
      <c r="G326" s="50">
        <f>G327+G330</f>
        <v>298</v>
      </c>
    </row>
    <row r="327" spans="1:7" ht="25.5" x14ac:dyDescent="0.2">
      <c r="A327" s="60" t="s">
        <v>234</v>
      </c>
      <c r="B327" s="4" t="s">
        <v>21</v>
      </c>
      <c r="C327" s="4" t="s">
        <v>23</v>
      </c>
      <c r="D327" s="4" t="s">
        <v>235</v>
      </c>
      <c r="E327" s="4"/>
      <c r="F327" s="5">
        <f>F328</f>
        <v>200</v>
      </c>
      <c r="G327" s="5">
        <f>G328</f>
        <v>200</v>
      </c>
    </row>
    <row r="328" spans="1:7" ht="25.5" x14ac:dyDescent="0.2">
      <c r="A328" s="60" t="s">
        <v>236</v>
      </c>
      <c r="B328" s="4" t="s">
        <v>21</v>
      </c>
      <c r="C328" s="4" t="s">
        <v>23</v>
      </c>
      <c r="D328" s="4" t="s">
        <v>237</v>
      </c>
      <c r="E328" s="4"/>
      <c r="F328" s="5">
        <f>F329</f>
        <v>200</v>
      </c>
      <c r="G328" s="5">
        <f>G329</f>
        <v>200</v>
      </c>
    </row>
    <row r="329" spans="1:7" x14ac:dyDescent="0.2">
      <c r="A329" s="25" t="s">
        <v>80</v>
      </c>
      <c r="B329" s="6" t="s">
        <v>21</v>
      </c>
      <c r="C329" s="6" t="s">
        <v>23</v>
      </c>
      <c r="D329" s="6" t="s">
        <v>237</v>
      </c>
      <c r="E329" s="6" t="s">
        <v>81</v>
      </c>
      <c r="F329" s="20">
        <v>200</v>
      </c>
      <c r="G329" s="20">
        <v>200</v>
      </c>
    </row>
    <row r="330" spans="1:7" ht="38.25" x14ac:dyDescent="0.2">
      <c r="A330" s="24" t="s">
        <v>298</v>
      </c>
      <c r="B330" s="4" t="s">
        <v>21</v>
      </c>
      <c r="C330" s="4" t="s">
        <v>23</v>
      </c>
      <c r="D330" s="4" t="s">
        <v>299</v>
      </c>
      <c r="E330" s="68"/>
      <c r="F330" s="20">
        <f>F331</f>
        <v>98</v>
      </c>
      <c r="G330" s="20">
        <f>G331</f>
        <v>98</v>
      </c>
    </row>
    <row r="331" spans="1:7" ht="38.25" x14ac:dyDescent="0.2">
      <c r="A331" s="24" t="s">
        <v>300</v>
      </c>
      <c r="B331" s="4" t="s">
        <v>21</v>
      </c>
      <c r="C331" s="4" t="s">
        <v>23</v>
      </c>
      <c r="D331" s="4" t="s">
        <v>301</v>
      </c>
      <c r="E331" s="93"/>
      <c r="F331" s="5">
        <f>F332</f>
        <v>98</v>
      </c>
      <c r="G331" s="5">
        <f>G332</f>
        <v>98</v>
      </c>
    </row>
    <row r="332" spans="1:7" ht="25.5" x14ac:dyDescent="0.2">
      <c r="A332" s="14" t="s">
        <v>66</v>
      </c>
      <c r="B332" s="6" t="s">
        <v>21</v>
      </c>
      <c r="C332" s="6" t="s">
        <v>23</v>
      </c>
      <c r="D332" s="6" t="s">
        <v>301</v>
      </c>
      <c r="E332" s="68" t="s">
        <v>67</v>
      </c>
      <c r="F332" s="20">
        <v>98</v>
      </c>
      <c r="G332" s="20">
        <v>98</v>
      </c>
    </row>
    <row r="333" spans="1:7" x14ac:dyDescent="0.2">
      <c r="A333" s="21" t="s">
        <v>82</v>
      </c>
      <c r="B333" s="10" t="s">
        <v>34</v>
      </c>
      <c r="C333" s="10"/>
      <c r="D333" s="10"/>
      <c r="E333" s="10"/>
      <c r="F333" s="48">
        <f>F334+F355</f>
        <v>67510.899999999994</v>
      </c>
      <c r="G333" s="48">
        <f>G334+G355</f>
        <v>67510.899999999994</v>
      </c>
    </row>
    <row r="334" spans="1:7" x14ac:dyDescent="0.2">
      <c r="A334" s="23" t="s">
        <v>15</v>
      </c>
      <c r="B334" s="9" t="s">
        <v>34</v>
      </c>
      <c r="C334" s="9" t="s">
        <v>18</v>
      </c>
      <c r="D334" s="9"/>
      <c r="E334" s="9"/>
      <c r="F334" s="49">
        <f>F335+F352</f>
        <v>57676</v>
      </c>
      <c r="G334" s="49">
        <f>G335+G352</f>
        <v>57676</v>
      </c>
    </row>
    <row r="335" spans="1:7" s="39" customFormat="1" ht="25.5" x14ac:dyDescent="0.2">
      <c r="A335" s="18" t="s">
        <v>461</v>
      </c>
      <c r="B335" s="11" t="s">
        <v>24</v>
      </c>
      <c r="C335" s="11" t="s">
        <v>18</v>
      </c>
      <c r="D335" s="11" t="s">
        <v>152</v>
      </c>
      <c r="E335" s="11"/>
      <c r="F335" s="50">
        <f>F342+F336+F348</f>
        <v>49308.74</v>
      </c>
      <c r="G335" s="50">
        <f>G342+G336+G348</f>
        <v>49308.74</v>
      </c>
    </row>
    <row r="336" spans="1:7" ht="27" x14ac:dyDescent="0.2">
      <c r="A336" s="41" t="s">
        <v>485</v>
      </c>
      <c r="B336" s="7" t="s">
        <v>34</v>
      </c>
      <c r="C336" s="7" t="s">
        <v>18</v>
      </c>
      <c r="D336" s="7" t="s">
        <v>158</v>
      </c>
      <c r="E336" s="7"/>
      <c r="F336" s="42">
        <f>F337</f>
        <v>20981.72</v>
      </c>
      <c r="G336" s="42">
        <f>G337</f>
        <v>20981.72</v>
      </c>
    </row>
    <row r="337" spans="1:7" ht="25.5" x14ac:dyDescent="0.2">
      <c r="A337" s="24" t="s">
        <v>159</v>
      </c>
      <c r="B337" s="4" t="s">
        <v>24</v>
      </c>
      <c r="C337" s="4" t="s">
        <v>18</v>
      </c>
      <c r="D337" s="4" t="s">
        <v>160</v>
      </c>
      <c r="E337" s="4"/>
      <c r="F337" s="5">
        <f>F340+F338</f>
        <v>20981.72</v>
      </c>
      <c r="G337" s="5">
        <f>G340+G338</f>
        <v>20981.72</v>
      </c>
    </row>
    <row r="338" spans="1:7" ht="25.5" x14ac:dyDescent="0.2">
      <c r="A338" s="22" t="s">
        <v>161</v>
      </c>
      <c r="B338" s="4" t="s">
        <v>24</v>
      </c>
      <c r="C338" s="4" t="s">
        <v>18</v>
      </c>
      <c r="D338" s="4" t="s">
        <v>162</v>
      </c>
      <c r="E338" s="4"/>
      <c r="F338" s="81">
        <f>F339</f>
        <v>10532.1</v>
      </c>
      <c r="G338" s="81">
        <f>G339</f>
        <v>10532.1</v>
      </c>
    </row>
    <row r="339" spans="1:7" s="39" customFormat="1" ht="51" x14ac:dyDescent="0.2">
      <c r="A339" s="15" t="s">
        <v>78</v>
      </c>
      <c r="B339" s="6" t="s">
        <v>24</v>
      </c>
      <c r="C339" s="6" t="s">
        <v>18</v>
      </c>
      <c r="D339" s="6" t="s">
        <v>162</v>
      </c>
      <c r="E339" s="6" t="s">
        <v>84</v>
      </c>
      <c r="F339" s="80">
        <f>13032.1+500+1000-4000</f>
        <v>10532.1</v>
      </c>
      <c r="G339" s="80">
        <f>13032.1+500+1000-4000</f>
        <v>10532.1</v>
      </c>
    </row>
    <row r="340" spans="1:7" s="39" customFormat="1" ht="25.5" x14ac:dyDescent="0.2">
      <c r="A340" s="22" t="s">
        <v>163</v>
      </c>
      <c r="B340" s="4" t="s">
        <v>24</v>
      </c>
      <c r="C340" s="4" t="s">
        <v>18</v>
      </c>
      <c r="D340" s="4" t="s">
        <v>257</v>
      </c>
      <c r="E340" s="4"/>
      <c r="F340" s="5">
        <f>F341</f>
        <v>10449.620000000001</v>
      </c>
      <c r="G340" s="5">
        <f>G341</f>
        <v>10449.620000000001</v>
      </c>
    </row>
    <row r="341" spans="1:7" ht="51" x14ac:dyDescent="0.2">
      <c r="A341" s="15" t="s">
        <v>78</v>
      </c>
      <c r="B341" s="6" t="s">
        <v>24</v>
      </c>
      <c r="C341" s="6" t="s">
        <v>18</v>
      </c>
      <c r="D341" s="6" t="s">
        <v>257</v>
      </c>
      <c r="E341" s="6" t="s">
        <v>84</v>
      </c>
      <c r="F341" s="80">
        <v>10449.620000000001</v>
      </c>
      <c r="G341" s="80">
        <v>10449.620000000001</v>
      </c>
    </row>
    <row r="342" spans="1:7" ht="27" x14ac:dyDescent="0.25">
      <c r="A342" s="62" t="s">
        <v>486</v>
      </c>
      <c r="B342" s="7" t="s">
        <v>34</v>
      </c>
      <c r="C342" s="7" t="s">
        <v>18</v>
      </c>
      <c r="D342" s="7" t="s">
        <v>164</v>
      </c>
      <c r="E342" s="7"/>
      <c r="F342" s="83">
        <f>F343</f>
        <v>27827.019999999997</v>
      </c>
      <c r="G342" s="83">
        <f>G343</f>
        <v>27827.019999999997</v>
      </c>
    </row>
    <row r="343" spans="1:7" ht="25.5" x14ac:dyDescent="0.2">
      <c r="A343" s="24" t="s">
        <v>165</v>
      </c>
      <c r="B343" s="4" t="s">
        <v>24</v>
      </c>
      <c r="C343" s="4" t="s">
        <v>18</v>
      </c>
      <c r="D343" s="4" t="s">
        <v>166</v>
      </c>
      <c r="E343" s="4"/>
      <c r="F343" s="81">
        <f>F346+F344</f>
        <v>27827.019999999997</v>
      </c>
      <c r="G343" s="81">
        <f>G346+G344</f>
        <v>27827.019999999997</v>
      </c>
    </row>
    <row r="344" spans="1:7" ht="38.25" x14ac:dyDescent="0.2">
      <c r="A344" s="22" t="s">
        <v>167</v>
      </c>
      <c r="B344" s="4" t="s">
        <v>34</v>
      </c>
      <c r="C344" s="4" t="s">
        <v>18</v>
      </c>
      <c r="D344" s="4" t="s">
        <v>168</v>
      </c>
      <c r="E344" s="4"/>
      <c r="F344" s="81">
        <f>SUM(F345:F345)</f>
        <v>13370.599999999999</v>
      </c>
      <c r="G344" s="81">
        <f>SUM(G345:G345)</f>
        <v>13370.599999999999</v>
      </c>
    </row>
    <row r="345" spans="1:7" ht="51" x14ac:dyDescent="0.2">
      <c r="A345" s="25" t="s">
        <v>79</v>
      </c>
      <c r="B345" s="6" t="s">
        <v>24</v>
      </c>
      <c r="C345" s="6" t="s">
        <v>18</v>
      </c>
      <c r="D345" s="6" t="s">
        <v>168</v>
      </c>
      <c r="E345" s="6" t="s">
        <v>83</v>
      </c>
      <c r="F345" s="80">
        <f>21670.6+1700-10000</f>
        <v>13370.599999999999</v>
      </c>
      <c r="G345" s="80">
        <f>21670.6+1700-10000</f>
        <v>13370.599999999999</v>
      </c>
    </row>
    <row r="346" spans="1:7" ht="25.5" x14ac:dyDescent="0.2">
      <c r="A346" s="22" t="s">
        <v>163</v>
      </c>
      <c r="B346" s="4" t="s">
        <v>24</v>
      </c>
      <c r="C346" s="4" t="s">
        <v>18</v>
      </c>
      <c r="D346" s="4" t="s">
        <v>258</v>
      </c>
      <c r="E346" s="4"/>
      <c r="F346" s="81">
        <f>F347</f>
        <v>14456.42</v>
      </c>
      <c r="G346" s="81">
        <f>G347</f>
        <v>14456.42</v>
      </c>
    </row>
    <row r="347" spans="1:7" ht="51" x14ac:dyDescent="0.2">
      <c r="A347" s="25" t="s">
        <v>79</v>
      </c>
      <c r="B347" s="6" t="s">
        <v>24</v>
      </c>
      <c r="C347" s="6" t="s">
        <v>18</v>
      </c>
      <c r="D347" s="6" t="s">
        <v>258</v>
      </c>
      <c r="E347" s="6" t="s">
        <v>83</v>
      </c>
      <c r="F347" s="80">
        <v>14456.42</v>
      </c>
      <c r="G347" s="80">
        <v>14456.42</v>
      </c>
    </row>
    <row r="348" spans="1:7" ht="27" x14ac:dyDescent="0.2">
      <c r="A348" s="41" t="s">
        <v>487</v>
      </c>
      <c r="B348" s="7" t="s">
        <v>24</v>
      </c>
      <c r="C348" s="7" t="s">
        <v>18</v>
      </c>
      <c r="D348" s="7" t="s">
        <v>169</v>
      </c>
      <c r="E348" s="7"/>
      <c r="F348" s="42">
        <f>F349</f>
        <v>500</v>
      </c>
      <c r="G348" s="42">
        <f>G349</f>
        <v>500</v>
      </c>
    </row>
    <row r="349" spans="1:7" ht="25.5" x14ac:dyDescent="0.2">
      <c r="A349" s="24" t="s">
        <v>348</v>
      </c>
      <c r="B349" s="4" t="s">
        <v>24</v>
      </c>
      <c r="C349" s="4" t="s">
        <v>18</v>
      </c>
      <c r="D349" s="4" t="s">
        <v>350</v>
      </c>
      <c r="E349" s="4"/>
      <c r="F349" s="5">
        <f>F350</f>
        <v>500</v>
      </c>
      <c r="G349" s="5">
        <f>G350</f>
        <v>500</v>
      </c>
    </row>
    <row r="350" spans="1:7" ht="25.5" x14ac:dyDescent="0.2">
      <c r="A350" s="16" t="s">
        <v>349</v>
      </c>
      <c r="B350" s="4" t="s">
        <v>24</v>
      </c>
      <c r="C350" s="4" t="s">
        <v>18</v>
      </c>
      <c r="D350" s="4" t="s">
        <v>351</v>
      </c>
      <c r="E350" s="4"/>
      <c r="F350" s="5">
        <f>SUM(F351:F351)</f>
        <v>500</v>
      </c>
      <c r="G350" s="5">
        <f>SUM(G351:G351)</f>
        <v>500</v>
      </c>
    </row>
    <row r="351" spans="1:7" ht="25.5" x14ac:dyDescent="0.2">
      <c r="A351" s="15" t="s">
        <v>93</v>
      </c>
      <c r="B351" s="6" t="s">
        <v>24</v>
      </c>
      <c r="C351" s="6" t="s">
        <v>18</v>
      </c>
      <c r="D351" s="6" t="s">
        <v>351</v>
      </c>
      <c r="E351" s="6" t="s">
        <v>67</v>
      </c>
      <c r="F351" s="80">
        <v>500</v>
      </c>
      <c r="G351" s="80">
        <v>500</v>
      </c>
    </row>
    <row r="352" spans="1:7" x14ac:dyDescent="0.2">
      <c r="A352" s="18" t="s">
        <v>171</v>
      </c>
      <c r="B352" s="11" t="s">
        <v>24</v>
      </c>
      <c r="C352" s="11" t="s">
        <v>18</v>
      </c>
      <c r="D352" s="11" t="s">
        <v>123</v>
      </c>
      <c r="E352" s="11"/>
      <c r="F352" s="84">
        <f>F353</f>
        <v>8367.26</v>
      </c>
      <c r="G352" s="84">
        <f>G353</f>
        <v>8367.26</v>
      </c>
    </row>
    <row r="353" spans="1:7" ht="25.5" x14ac:dyDescent="0.2">
      <c r="A353" s="22" t="s">
        <v>163</v>
      </c>
      <c r="B353" s="4" t="s">
        <v>24</v>
      </c>
      <c r="C353" s="4" t="s">
        <v>18</v>
      </c>
      <c r="D353" s="4" t="s">
        <v>259</v>
      </c>
      <c r="E353" s="4"/>
      <c r="F353" s="81">
        <f>F354</f>
        <v>8367.26</v>
      </c>
      <c r="G353" s="81">
        <f>G354</f>
        <v>8367.26</v>
      </c>
    </row>
    <row r="354" spans="1:7" x14ac:dyDescent="0.2">
      <c r="A354" s="25" t="s">
        <v>114</v>
      </c>
      <c r="B354" s="6" t="s">
        <v>24</v>
      </c>
      <c r="C354" s="6" t="s">
        <v>18</v>
      </c>
      <c r="D354" s="6" t="s">
        <v>259</v>
      </c>
      <c r="E354" s="6" t="s">
        <v>74</v>
      </c>
      <c r="F354" s="80">
        <v>8367.26</v>
      </c>
      <c r="G354" s="80">
        <v>8367.26</v>
      </c>
    </row>
    <row r="355" spans="1:7" x14ac:dyDescent="0.2">
      <c r="A355" s="26" t="s">
        <v>103</v>
      </c>
      <c r="B355" s="9" t="s">
        <v>24</v>
      </c>
      <c r="C355" s="9" t="s">
        <v>20</v>
      </c>
      <c r="D355" s="9"/>
      <c r="E355" s="9"/>
      <c r="F355" s="49">
        <f>F356+F368</f>
        <v>9834.9</v>
      </c>
      <c r="G355" s="49">
        <f>G356+G368</f>
        <v>9834.9</v>
      </c>
    </row>
    <row r="356" spans="1:7" ht="25.5" x14ac:dyDescent="0.2">
      <c r="A356" s="18" t="s">
        <v>461</v>
      </c>
      <c r="B356" s="11" t="s">
        <v>34</v>
      </c>
      <c r="C356" s="11" t="s">
        <v>20</v>
      </c>
      <c r="D356" s="11" t="s">
        <v>152</v>
      </c>
      <c r="E356" s="11"/>
      <c r="F356" s="50">
        <f>F357</f>
        <v>9683.9</v>
      </c>
      <c r="G356" s="50">
        <f>G357</f>
        <v>9683.9</v>
      </c>
    </row>
    <row r="357" spans="1:7" ht="27" x14ac:dyDescent="0.2">
      <c r="A357" s="41" t="s">
        <v>487</v>
      </c>
      <c r="B357" s="7" t="s">
        <v>24</v>
      </c>
      <c r="C357" s="7" t="s">
        <v>20</v>
      </c>
      <c r="D357" s="7" t="s">
        <v>169</v>
      </c>
      <c r="E357" s="7"/>
      <c r="F357" s="42">
        <f>F359+F362</f>
        <v>9683.9</v>
      </c>
      <c r="G357" s="42">
        <f>G359+G362</f>
        <v>9683.9</v>
      </c>
    </row>
    <row r="358" spans="1:7" ht="25.5" x14ac:dyDescent="0.2">
      <c r="A358" s="24" t="s">
        <v>326</v>
      </c>
      <c r="B358" s="4" t="s">
        <v>24</v>
      </c>
      <c r="C358" s="4" t="s">
        <v>20</v>
      </c>
      <c r="D358" s="4" t="s">
        <v>325</v>
      </c>
      <c r="E358" s="4"/>
      <c r="F358" s="5">
        <f>F359</f>
        <v>1434</v>
      </c>
      <c r="G358" s="5">
        <f>G359</f>
        <v>1434</v>
      </c>
    </row>
    <row r="359" spans="1:7" ht="25.5" x14ac:dyDescent="0.2">
      <c r="A359" s="24" t="s">
        <v>92</v>
      </c>
      <c r="B359" s="4" t="s">
        <v>24</v>
      </c>
      <c r="C359" s="4" t="s">
        <v>20</v>
      </c>
      <c r="D359" s="4" t="s">
        <v>216</v>
      </c>
      <c r="E359" s="4"/>
      <c r="F359" s="5">
        <f>SUM(F360:F361)</f>
        <v>1434</v>
      </c>
      <c r="G359" s="5">
        <f>SUM(G360:G361)</f>
        <v>1434</v>
      </c>
    </row>
    <row r="360" spans="1:7" ht="25.5" x14ac:dyDescent="0.2">
      <c r="A360" s="14" t="s">
        <v>121</v>
      </c>
      <c r="B360" s="6" t="s">
        <v>24</v>
      </c>
      <c r="C360" s="6" t="s">
        <v>20</v>
      </c>
      <c r="D360" s="6" t="s">
        <v>216</v>
      </c>
      <c r="E360" s="6" t="s">
        <v>63</v>
      </c>
      <c r="F360" s="20">
        <v>1101.4000000000001</v>
      </c>
      <c r="G360" s="20">
        <v>1101.4000000000001</v>
      </c>
    </row>
    <row r="361" spans="1:7" ht="38.25" x14ac:dyDescent="0.2">
      <c r="A361" s="14" t="s">
        <v>122</v>
      </c>
      <c r="B361" s="6" t="s">
        <v>24</v>
      </c>
      <c r="C361" s="6" t="s">
        <v>20</v>
      </c>
      <c r="D361" s="6" t="s">
        <v>216</v>
      </c>
      <c r="E361" s="6" t="s">
        <v>115</v>
      </c>
      <c r="F361" s="20">
        <v>332.6</v>
      </c>
      <c r="G361" s="20">
        <v>332.6</v>
      </c>
    </row>
    <row r="362" spans="1:7" ht="25.5" x14ac:dyDescent="0.2">
      <c r="A362" s="16" t="s">
        <v>269</v>
      </c>
      <c r="B362" s="4" t="s">
        <v>24</v>
      </c>
      <c r="C362" s="4" t="s">
        <v>20</v>
      </c>
      <c r="D362" s="4" t="s">
        <v>170</v>
      </c>
      <c r="E362" s="4"/>
      <c r="F362" s="81">
        <f>SUM(F363:F367)</f>
        <v>8249.9</v>
      </c>
      <c r="G362" s="81">
        <f>SUM(G363:G367)</f>
        <v>8249.9</v>
      </c>
    </row>
    <row r="363" spans="1:7" x14ac:dyDescent="0.2">
      <c r="A363" s="15" t="s">
        <v>213</v>
      </c>
      <c r="B363" s="6" t="s">
        <v>24</v>
      </c>
      <c r="C363" s="6" t="s">
        <v>20</v>
      </c>
      <c r="D363" s="6" t="s">
        <v>170</v>
      </c>
      <c r="E363" s="6" t="s">
        <v>95</v>
      </c>
      <c r="F363" s="80">
        <f>10978-5000</f>
        <v>5978</v>
      </c>
      <c r="G363" s="80">
        <f>10978-5000</f>
        <v>5978</v>
      </c>
    </row>
    <row r="364" spans="1:7" ht="38.25" x14ac:dyDescent="0.2">
      <c r="A364" s="15" t="s">
        <v>212</v>
      </c>
      <c r="B364" s="6" t="s">
        <v>24</v>
      </c>
      <c r="C364" s="6" t="s">
        <v>20</v>
      </c>
      <c r="D364" s="6" t="s">
        <v>170</v>
      </c>
      <c r="E364" s="6" t="s">
        <v>139</v>
      </c>
      <c r="F364" s="80">
        <f>3315.4-1800</f>
        <v>1515.4</v>
      </c>
      <c r="G364" s="80">
        <f>3315.4-1800</f>
        <v>1515.4</v>
      </c>
    </row>
    <row r="365" spans="1:7" ht="25.5" x14ac:dyDescent="0.2">
      <c r="A365" s="15" t="s">
        <v>400</v>
      </c>
      <c r="B365" s="6" t="s">
        <v>24</v>
      </c>
      <c r="C365" s="6" t="s">
        <v>20</v>
      </c>
      <c r="D365" s="6" t="s">
        <v>170</v>
      </c>
      <c r="E365" s="6" t="s">
        <v>65</v>
      </c>
      <c r="F365" s="80">
        <v>250</v>
      </c>
      <c r="G365" s="80">
        <v>250</v>
      </c>
    </row>
    <row r="366" spans="1:7" ht="25.5" x14ac:dyDescent="0.2">
      <c r="A366" s="15" t="s">
        <v>93</v>
      </c>
      <c r="B366" s="6" t="s">
        <v>24</v>
      </c>
      <c r="C366" s="6" t="s">
        <v>20</v>
      </c>
      <c r="D366" s="6" t="s">
        <v>170</v>
      </c>
      <c r="E366" s="6" t="s">
        <v>67</v>
      </c>
      <c r="F366" s="80">
        <v>500</v>
      </c>
      <c r="G366" s="80">
        <v>500</v>
      </c>
    </row>
    <row r="367" spans="1:7" x14ac:dyDescent="0.2">
      <c r="A367" s="15" t="s">
        <v>140</v>
      </c>
      <c r="B367" s="6" t="s">
        <v>24</v>
      </c>
      <c r="C367" s="6" t="s">
        <v>20</v>
      </c>
      <c r="D367" s="6" t="s">
        <v>170</v>
      </c>
      <c r="E367" s="6" t="s">
        <v>70</v>
      </c>
      <c r="F367" s="20">
        <v>6.5</v>
      </c>
      <c r="G367" s="20">
        <v>6.5</v>
      </c>
    </row>
    <row r="368" spans="1:7" ht="25.5" x14ac:dyDescent="0.2">
      <c r="A368" s="18" t="s">
        <v>464</v>
      </c>
      <c r="B368" s="11" t="s">
        <v>24</v>
      </c>
      <c r="C368" s="11" t="s">
        <v>20</v>
      </c>
      <c r="D368" s="11" t="s">
        <v>228</v>
      </c>
      <c r="E368" s="11"/>
      <c r="F368" s="82">
        <f t="shared" ref="F368:G370" si="21">F369</f>
        <v>151</v>
      </c>
      <c r="G368" s="82">
        <f t="shared" si="21"/>
        <v>151</v>
      </c>
    </row>
    <row r="369" spans="1:7" ht="25.5" x14ac:dyDescent="0.2">
      <c r="A369" s="24" t="s">
        <v>240</v>
      </c>
      <c r="B369" s="4" t="s">
        <v>24</v>
      </c>
      <c r="C369" s="4" t="s">
        <v>20</v>
      </c>
      <c r="D369" s="4" t="s">
        <v>310</v>
      </c>
      <c r="E369" s="4"/>
      <c r="F369" s="85">
        <f t="shared" si="21"/>
        <v>151</v>
      </c>
      <c r="G369" s="85">
        <f t="shared" si="21"/>
        <v>151</v>
      </c>
    </row>
    <row r="370" spans="1:7" ht="25.5" x14ac:dyDescent="0.2">
      <c r="A370" s="22" t="s">
        <v>229</v>
      </c>
      <c r="B370" s="4" t="s">
        <v>24</v>
      </c>
      <c r="C370" s="4" t="s">
        <v>20</v>
      </c>
      <c r="D370" s="4" t="s">
        <v>311</v>
      </c>
      <c r="E370" s="4"/>
      <c r="F370" s="81">
        <f t="shared" si="21"/>
        <v>151</v>
      </c>
      <c r="G370" s="81">
        <f t="shared" si="21"/>
        <v>151</v>
      </c>
    </row>
    <row r="371" spans="1:7" x14ac:dyDescent="0.2">
      <c r="A371" s="15" t="s">
        <v>362</v>
      </c>
      <c r="B371" s="6" t="s">
        <v>24</v>
      </c>
      <c r="C371" s="6" t="s">
        <v>20</v>
      </c>
      <c r="D371" s="6" t="s">
        <v>311</v>
      </c>
      <c r="E371" s="6" t="s">
        <v>361</v>
      </c>
      <c r="F371" s="80">
        <v>151</v>
      </c>
      <c r="G371" s="80">
        <v>151</v>
      </c>
    </row>
    <row r="372" spans="1:7" x14ac:dyDescent="0.2">
      <c r="A372" s="21" t="s">
        <v>77</v>
      </c>
      <c r="B372" s="10" t="s">
        <v>26</v>
      </c>
      <c r="C372" s="10"/>
      <c r="D372" s="10"/>
      <c r="E372" s="10"/>
      <c r="F372" s="48">
        <f>F373+F378+F396+F390</f>
        <v>27024.94138</v>
      </c>
      <c r="G372" s="48">
        <f>G373+G378+G396+G390</f>
        <v>14694.598609999999</v>
      </c>
    </row>
    <row r="373" spans="1:7" x14ac:dyDescent="0.2">
      <c r="A373" s="27" t="s">
        <v>16</v>
      </c>
      <c r="B373" s="9" t="s">
        <v>26</v>
      </c>
      <c r="C373" s="9" t="s">
        <v>18</v>
      </c>
      <c r="D373" s="9"/>
      <c r="E373" s="9"/>
      <c r="F373" s="49">
        <f t="shared" ref="F373:G376" si="22">F374</f>
        <v>5941.1</v>
      </c>
      <c r="G373" s="49">
        <f t="shared" si="22"/>
        <v>5941.1</v>
      </c>
    </row>
    <row r="374" spans="1:7" x14ac:dyDescent="0.2">
      <c r="A374" s="34" t="s">
        <v>105</v>
      </c>
      <c r="B374" s="11" t="s">
        <v>26</v>
      </c>
      <c r="C374" s="11" t="s">
        <v>18</v>
      </c>
      <c r="D374" s="11" t="s">
        <v>123</v>
      </c>
      <c r="E374" s="11"/>
      <c r="F374" s="50">
        <f t="shared" si="22"/>
        <v>5941.1</v>
      </c>
      <c r="G374" s="50">
        <f t="shared" si="22"/>
        <v>5941.1</v>
      </c>
    </row>
    <row r="375" spans="1:7" ht="25.5" x14ac:dyDescent="0.2">
      <c r="A375" s="24" t="s">
        <v>41</v>
      </c>
      <c r="B375" s="4" t="s">
        <v>26</v>
      </c>
      <c r="C375" s="4" t="s">
        <v>18</v>
      </c>
      <c r="D375" s="4" t="s">
        <v>147</v>
      </c>
      <c r="E375" s="4"/>
      <c r="F375" s="5">
        <f t="shared" si="22"/>
        <v>5941.1</v>
      </c>
      <c r="G375" s="5">
        <f t="shared" si="22"/>
        <v>5941.1</v>
      </c>
    </row>
    <row r="376" spans="1:7" x14ac:dyDescent="0.2">
      <c r="A376" s="69" t="s">
        <v>96</v>
      </c>
      <c r="B376" s="4" t="s">
        <v>26</v>
      </c>
      <c r="C376" s="4" t="s">
        <v>18</v>
      </c>
      <c r="D376" s="4" t="s">
        <v>148</v>
      </c>
      <c r="E376" s="4"/>
      <c r="F376" s="5">
        <f t="shared" si="22"/>
        <v>5941.1</v>
      </c>
      <c r="G376" s="5">
        <f t="shared" si="22"/>
        <v>5941.1</v>
      </c>
    </row>
    <row r="377" spans="1:7" ht="25.5" x14ac:dyDescent="0.2">
      <c r="A377" s="19" t="s">
        <v>419</v>
      </c>
      <c r="B377" s="6" t="s">
        <v>26</v>
      </c>
      <c r="C377" s="6" t="s">
        <v>18</v>
      </c>
      <c r="D377" s="6" t="s">
        <v>148</v>
      </c>
      <c r="E377" s="6" t="s">
        <v>418</v>
      </c>
      <c r="F377" s="20">
        <v>5941.1</v>
      </c>
      <c r="G377" s="20">
        <v>5941.1</v>
      </c>
    </row>
    <row r="378" spans="1:7" s="39" customFormat="1" x14ac:dyDescent="0.2">
      <c r="A378" s="27" t="s">
        <v>107</v>
      </c>
      <c r="B378" s="9" t="s">
        <v>26</v>
      </c>
      <c r="C378" s="9" t="s">
        <v>32</v>
      </c>
      <c r="D378" s="9"/>
      <c r="E378" s="9"/>
      <c r="F378" s="53">
        <f>F386+F379</f>
        <v>14454.71905</v>
      </c>
      <c r="G378" s="53">
        <f>G386+G379</f>
        <v>2102.23</v>
      </c>
    </row>
    <row r="379" spans="1:7" ht="38.25" x14ac:dyDescent="0.2">
      <c r="A379" s="38" t="s">
        <v>460</v>
      </c>
      <c r="B379" s="90" t="s">
        <v>26</v>
      </c>
      <c r="C379" s="90" t="s">
        <v>32</v>
      </c>
      <c r="D379" s="90" t="s">
        <v>314</v>
      </c>
      <c r="E379" s="90"/>
      <c r="F379" s="82">
        <f>F383+F380</f>
        <v>12352.48905</v>
      </c>
      <c r="G379" s="82">
        <f>G383+G380</f>
        <v>0</v>
      </c>
    </row>
    <row r="380" spans="1:7" ht="38.25" x14ac:dyDescent="0.2">
      <c r="A380" s="103" t="s">
        <v>428</v>
      </c>
      <c r="B380" s="94" t="s">
        <v>26</v>
      </c>
      <c r="C380" s="94" t="s">
        <v>32</v>
      </c>
      <c r="D380" s="94" t="s">
        <v>429</v>
      </c>
      <c r="E380" s="94"/>
      <c r="F380" s="81">
        <f>F381</f>
        <v>11496.9123</v>
      </c>
      <c r="G380" s="81">
        <f>G381</f>
        <v>0</v>
      </c>
    </row>
    <row r="381" spans="1:7" ht="13.5" x14ac:dyDescent="0.2">
      <c r="A381" s="103" t="s">
        <v>425</v>
      </c>
      <c r="B381" s="94" t="s">
        <v>26</v>
      </c>
      <c r="C381" s="94" t="s">
        <v>32</v>
      </c>
      <c r="D381" s="94" t="s">
        <v>430</v>
      </c>
      <c r="E381" s="104"/>
      <c r="F381" s="81">
        <f>F382</f>
        <v>11496.9123</v>
      </c>
      <c r="G381" s="81">
        <f>G382</f>
        <v>0</v>
      </c>
    </row>
    <row r="382" spans="1:7" ht="25.5" x14ac:dyDescent="0.2">
      <c r="A382" s="19" t="s">
        <v>112</v>
      </c>
      <c r="B382" s="89" t="s">
        <v>26</v>
      </c>
      <c r="C382" s="89" t="s">
        <v>32</v>
      </c>
      <c r="D382" s="89" t="s">
        <v>430</v>
      </c>
      <c r="E382" s="89" t="s">
        <v>67</v>
      </c>
      <c r="F382" s="80">
        <v>11496.9123</v>
      </c>
      <c r="G382" s="80">
        <v>0</v>
      </c>
    </row>
    <row r="383" spans="1:7" ht="25.5" x14ac:dyDescent="0.2">
      <c r="A383" s="103" t="s">
        <v>424</v>
      </c>
      <c r="B383" s="94" t="s">
        <v>26</v>
      </c>
      <c r="C383" s="94" t="s">
        <v>32</v>
      </c>
      <c r="D383" s="94" t="s">
        <v>426</v>
      </c>
      <c r="E383" s="94"/>
      <c r="F383" s="81">
        <f t="shared" ref="F383:G384" si="23">F384</f>
        <v>855.57675000000006</v>
      </c>
      <c r="G383" s="81">
        <f t="shared" si="23"/>
        <v>0</v>
      </c>
    </row>
    <row r="384" spans="1:7" ht="13.5" x14ac:dyDescent="0.2">
      <c r="A384" s="103" t="s">
        <v>425</v>
      </c>
      <c r="B384" s="94" t="s">
        <v>26</v>
      </c>
      <c r="C384" s="94" t="s">
        <v>32</v>
      </c>
      <c r="D384" s="94" t="s">
        <v>427</v>
      </c>
      <c r="E384" s="104"/>
      <c r="F384" s="81">
        <f t="shared" si="23"/>
        <v>855.57675000000006</v>
      </c>
      <c r="G384" s="81">
        <f t="shared" si="23"/>
        <v>0</v>
      </c>
    </row>
    <row r="385" spans="1:7" x14ac:dyDescent="0.2">
      <c r="A385" s="25" t="s">
        <v>449</v>
      </c>
      <c r="B385" s="89" t="s">
        <v>26</v>
      </c>
      <c r="C385" s="89" t="s">
        <v>32</v>
      </c>
      <c r="D385" s="89" t="s">
        <v>427</v>
      </c>
      <c r="E385" s="89" t="s">
        <v>438</v>
      </c>
      <c r="F385" s="80">
        <f>770.01907+85.55768</f>
        <v>855.57675000000006</v>
      </c>
      <c r="G385" s="80">
        <v>0</v>
      </c>
    </row>
    <row r="386" spans="1:7" x14ac:dyDescent="0.2">
      <c r="A386" s="18" t="s">
        <v>105</v>
      </c>
      <c r="B386" s="11" t="s">
        <v>26</v>
      </c>
      <c r="C386" s="11" t="s">
        <v>32</v>
      </c>
      <c r="D386" s="11" t="s">
        <v>123</v>
      </c>
      <c r="E386" s="11"/>
      <c r="F386" s="54">
        <f t="shared" ref="F386:G386" si="24">F387</f>
        <v>2102.23</v>
      </c>
      <c r="G386" s="54">
        <f t="shared" si="24"/>
        <v>2102.23</v>
      </c>
    </row>
    <row r="387" spans="1:7" s="39" customFormat="1" ht="204" x14ac:dyDescent="0.2">
      <c r="A387" s="22" t="s">
        <v>338</v>
      </c>
      <c r="B387" s="4" t="s">
        <v>26</v>
      </c>
      <c r="C387" s="4" t="s">
        <v>32</v>
      </c>
      <c r="D387" s="4" t="s">
        <v>172</v>
      </c>
      <c r="E387" s="4"/>
      <c r="F387" s="55">
        <f>F388+F389</f>
        <v>2102.23</v>
      </c>
      <c r="G387" s="55">
        <f>G388+G389</f>
        <v>2102.23</v>
      </c>
    </row>
    <row r="388" spans="1:7" s="40" customFormat="1" x14ac:dyDescent="0.2">
      <c r="A388" s="14" t="s">
        <v>80</v>
      </c>
      <c r="B388" s="6" t="s">
        <v>26</v>
      </c>
      <c r="C388" s="6" t="s">
        <v>32</v>
      </c>
      <c r="D388" s="6" t="s">
        <v>172</v>
      </c>
      <c r="E388" s="6" t="s">
        <v>81</v>
      </c>
      <c r="F388" s="8">
        <f>1500+47.1+233.13</f>
        <v>1780.23</v>
      </c>
      <c r="G388" s="8">
        <f>1500+47.1+233.13</f>
        <v>1780.23</v>
      </c>
    </row>
    <row r="389" spans="1:7" s="40" customFormat="1" x14ac:dyDescent="0.2">
      <c r="A389" s="25" t="s">
        <v>89</v>
      </c>
      <c r="B389" s="6" t="s">
        <v>26</v>
      </c>
      <c r="C389" s="6" t="s">
        <v>32</v>
      </c>
      <c r="D389" s="6" t="s">
        <v>172</v>
      </c>
      <c r="E389" s="6" t="s">
        <v>90</v>
      </c>
      <c r="F389" s="8">
        <f>322</f>
        <v>322</v>
      </c>
      <c r="G389" s="8">
        <f>322</f>
        <v>322</v>
      </c>
    </row>
    <row r="390" spans="1:7" s="39" customFormat="1" x14ac:dyDescent="0.2">
      <c r="A390" s="27" t="s">
        <v>431</v>
      </c>
      <c r="B390" s="9" t="s">
        <v>26</v>
      </c>
      <c r="C390" s="9" t="s">
        <v>20</v>
      </c>
      <c r="D390" s="9"/>
      <c r="E390" s="9"/>
      <c r="F390" s="53">
        <f>F391</f>
        <v>1736.2223300000001</v>
      </c>
      <c r="G390" s="53">
        <f>G391</f>
        <v>1758.36861</v>
      </c>
    </row>
    <row r="391" spans="1:7" ht="38.25" x14ac:dyDescent="0.2">
      <c r="A391" s="34" t="s">
        <v>462</v>
      </c>
      <c r="B391" s="11" t="s">
        <v>26</v>
      </c>
      <c r="C391" s="11" t="s">
        <v>20</v>
      </c>
      <c r="D391" s="11" t="s">
        <v>173</v>
      </c>
      <c r="E391" s="11"/>
      <c r="F391" s="54">
        <f>F392</f>
        <v>1736.2223300000001</v>
      </c>
      <c r="G391" s="54">
        <f>G392</f>
        <v>1758.36861</v>
      </c>
    </row>
    <row r="392" spans="1:7" ht="27" x14ac:dyDescent="0.2">
      <c r="A392" s="41" t="s">
        <v>488</v>
      </c>
      <c r="B392" s="7" t="s">
        <v>26</v>
      </c>
      <c r="C392" s="7" t="s">
        <v>20</v>
      </c>
      <c r="D392" s="7" t="s">
        <v>432</v>
      </c>
      <c r="E392" s="7"/>
      <c r="F392" s="105">
        <f t="shared" ref="F392:G394" si="25">F393</f>
        <v>1736.2223300000001</v>
      </c>
      <c r="G392" s="105">
        <f t="shared" si="25"/>
        <v>1758.36861</v>
      </c>
    </row>
    <row r="393" spans="1:7" ht="25.5" x14ac:dyDescent="0.2">
      <c r="A393" s="24" t="s">
        <v>433</v>
      </c>
      <c r="B393" s="4" t="s">
        <v>26</v>
      </c>
      <c r="C393" s="4" t="s">
        <v>20</v>
      </c>
      <c r="D393" s="4" t="s">
        <v>434</v>
      </c>
      <c r="E393" s="4"/>
      <c r="F393" s="55">
        <f>F394</f>
        <v>1736.2223300000001</v>
      </c>
      <c r="G393" s="55">
        <f>G394</f>
        <v>1758.36861</v>
      </c>
    </row>
    <row r="394" spans="1:7" ht="25.5" x14ac:dyDescent="0.2">
      <c r="A394" s="24" t="s">
        <v>435</v>
      </c>
      <c r="B394" s="4" t="s">
        <v>26</v>
      </c>
      <c r="C394" s="4" t="s">
        <v>20</v>
      </c>
      <c r="D394" s="4" t="s">
        <v>436</v>
      </c>
      <c r="E394" s="4"/>
      <c r="F394" s="55">
        <f t="shared" si="25"/>
        <v>1736.2223300000001</v>
      </c>
      <c r="G394" s="55">
        <f t="shared" si="25"/>
        <v>1758.36861</v>
      </c>
    </row>
    <row r="395" spans="1:7" x14ac:dyDescent="0.2">
      <c r="A395" s="25" t="s">
        <v>437</v>
      </c>
      <c r="B395" s="6" t="s">
        <v>26</v>
      </c>
      <c r="C395" s="6" t="s">
        <v>20</v>
      </c>
      <c r="D395" s="6" t="s">
        <v>436</v>
      </c>
      <c r="E395" s="6" t="s">
        <v>438</v>
      </c>
      <c r="F395" s="102">
        <v>1736.2223300000001</v>
      </c>
      <c r="G395" s="102">
        <v>1758.36861</v>
      </c>
    </row>
    <row r="396" spans="1:7" ht="15" customHeight="1" x14ac:dyDescent="0.2">
      <c r="A396" s="27" t="s">
        <v>44</v>
      </c>
      <c r="B396" s="9" t="s">
        <v>26</v>
      </c>
      <c r="C396" s="9" t="s">
        <v>25</v>
      </c>
      <c r="D396" s="9"/>
      <c r="E396" s="9"/>
      <c r="F396" s="49">
        <f>F397</f>
        <v>4892.9000000000005</v>
      </c>
      <c r="G396" s="49">
        <f>G397</f>
        <v>4892.9000000000005</v>
      </c>
    </row>
    <row r="397" spans="1:7" x14ac:dyDescent="0.2">
      <c r="A397" s="34" t="s">
        <v>105</v>
      </c>
      <c r="B397" s="11" t="s">
        <v>26</v>
      </c>
      <c r="C397" s="11" t="s">
        <v>25</v>
      </c>
      <c r="D397" s="11" t="s">
        <v>123</v>
      </c>
      <c r="E397" s="11"/>
      <c r="F397" s="50">
        <f>F398+F403+F408</f>
        <v>4892.9000000000005</v>
      </c>
      <c r="G397" s="50">
        <f>G398+G403+G408</f>
        <v>4892.9000000000005</v>
      </c>
    </row>
    <row r="398" spans="1:7" ht="51" x14ac:dyDescent="0.2">
      <c r="A398" s="24" t="s">
        <v>59</v>
      </c>
      <c r="B398" s="4" t="s">
        <v>26</v>
      </c>
      <c r="C398" s="4" t="s">
        <v>25</v>
      </c>
      <c r="D398" s="4" t="s">
        <v>149</v>
      </c>
      <c r="E398" s="4"/>
      <c r="F398" s="81">
        <f>SUM(F399:F402)</f>
        <v>1884.9</v>
      </c>
      <c r="G398" s="81">
        <f>SUM(G399:G402)</f>
        <v>1884.9</v>
      </c>
    </row>
    <row r="399" spans="1:7" ht="25.5" x14ac:dyDescent="0.2">
      <c r="A399" s="35" t="s">
        <v>121</v>
      </c>
      <c r="B399" s="6" t="s">
        <v>26</v>
      </c>
      <c r="C399" s="6" t="s">
        <v>25</v>
      </c>
      <c r="D399" s="6" t="s">
        <v>149</v>
      </c>
      <c r="E399" s="6" t="s">
        <v>63</v>
      </c>
      <c r="F399" s="80">
        <v>1393.9</v>
      </c>
      <c r="G399" s="80">
        <v>1393.9</v>
      </c>
    </row>
    <row r="400" spans="1:7" ht="38.25" x14ac:dyDescent="0.2">
      <c r="A400" s="35" t="s">
        <v>122</v>
      </c>
      <c r="B400" s="6" t="s">
        <v>26</v>
      </c>
      <c r="C400" s="6" t="s">
        <v>25</v>
      </c>
      <c r="D400" s="6" t="s">
        <v>149</v>
      </c>
      <c r="E400" s="6" t="s">
        <v>115</v>
      </c>
      <c r="F400" s="80">
        <v>420.9</v>
      </c>
      <c r="G400" s="80">
        <v>420.9</v>
      </c>
    </row>
    <row r="401" spans="1:7" ht="25.5" x14ac:dyDescent="0.2">
      <c r="A401" s="35" t="s">
        <v>64</v>
      </c>
      <c r="B401" s="6" t="s">
        <v>26</v>
      </c>
      <c r="C401" s="6" t="s">
        <v>25</v>
      </c>
      <c r="D401" s="6" t="s">
        <v>149</v>
      </c>
      <c r="E401" s="6" t="s">
        <v>65</v>
      </c>
      <c r="F401" s="80">
        <f>15+6</f>
        <v>21</v>
      </c>
      <c r="G401" s="80">
        <f>15+6</f>
        <v>21</v>
      </c>
    </row>
    <row r="402" spans="1:7" ht="25.5" x14ac:dyDescent="0.2">
      <c r="A402" s="35" t="s">
        <v>66</v>
      </c>
      <c r="B402" s="6" t="s">
        <v>26</v>
      </c>
      <c r="C402" s="6" t="s">
        <v>25</v>
      </c>
      <c r="D402" s="6" t="s">
        <v>149</v>
      </c>
      <c r="E402" s="6" t="s">
        <v>67</v>
      </c>
      <c r="F402" s="80">
        <f>44.1+5</f>
        <v>49.1</v>
      </c>
      <c r="G402" s="80">
        <f>44.1+5</f>
        <v>49.1</v>
      </c>
    </row>
    <row r="403" spans="1:7" ht="38.25" x14ac:dyDescent="0.2">
      <c r="A403" s="24" t="s">
        <v>58</v>
      </c>
      <c r="B403" s="4" t="s">
        <v>26</v>
      </c>
      <c r="C403" s="4" t="s">
        <v>25</v>
      </c>
      <c r="D403" s="4" t="s">
        <v>151</v>
      </c>
      <c r="E403" s="4"/>
      <c r="F403" s="81">
        <f>SUM(F404:F407)</f>
        <v>2513.1999999999998</v>
      </c>
      <c r="G403" s="81">
        <f>SUM(G404:G407)</f>
        <v>2513.1999999999998</v>
      </c>
    </row>
    <row r="404" spans="1:7" ht="25.5" x14ac:dyDescent="0.2">
      <c r="A404" s="35" t="s">
        <v>121</v>
      </c>
      <c r="B404" s="6" t="s">
        <v>26</v>
      </c>
      <c r="C404" s="6" t="s">
        <v>25</v>
      </c>
      <c r="D404" s="6" t="s">
        <v>151</v>
      </c>
      <c r="E404" s="6" t="s">
        <v>63</v>
      </c>
      <c r="F404" s="80">
        <v>1732</v>
      </c>
      <c r="G404" s="80">
        <v>1732</v>
      </c>
    </row>
    <row r="405" spans="1:7" s="39" customFormat="1" ht="38.25" x14ac:dyDescent="0.2">
      <c r="A405" s="35" t="s">
        <v>122</v>
      </c>
      <c r="B405" s="6" t="s">
        <v>26</v>
      </c>
      <c r="C405" s="6" t="s">
        <v>25</v>
      </c>
      <c r="D405" s="6" t="s">
        <v>151</v>
      </c>
      <c r="E405" s="6" t="s">
        <v>115</v>
      </c>
      <c r="F405" s="80">
        <v>523.1</v>
      </c>
      <c r="G405" s="80">
        <v>523.1</v>
      </c>
    </row>
    <row r="406" spans="1:7" ht="25.5" x14ac:dyDescent="0.2">
      <c r="A406" s="35" t="s">
        <v>64</v>
      </c>
      <c r="B406" s="6" t="s">
        <v>26</v>
      </c>
      <c r="C406" s="6" t="s">
        <v>25</v>
      </c>
      <c r="D406" s="6" t="s">
        <v>151</v>
      </c>
      <c r="E406" s="6" t="s">
        <v>65</v>
      </c>
      <c r="F406" s="80">
        <v>183.2</v>
      </c>
      <c r="G406" s="80">
        <v>183.2</v>
      </c>
    </row>
    <row r="407" spans="1:7" ht="25.5" x14ac:dyDescent="0.2">
      <c r="A407" s="35" t="s">
        <v>66</v>
      </c>
      <c r="B407" s="6" t="s">
        <v>26</v>
      </c>
      <c r="C407" s="6" t="s">
        <v>25</v>
      </c>
      <c r="D407" s="6" t="s">
        <v>151</v>
      </c>
      <c r="E407" s="6" t="s">
        <v>67</v>
      </c>
      <c r="F407" s="80">
        <v>74.900000000000006</v>
      </c>
      <c r="G407" s="80">
        <v>74.900000000000006</v>
      </c>
    </row>
    <row r="408" spans="1:7" ht="51" x14ac:dyDescent="0.2">
      <c r="A408" s="78" t="s">
        <v>328</v>
      </c>
      <c r="B408" s="79" t="s">
        <v>26</v>
      </c>
      <c r="C408" s="79" t="s">
        <v>25</v>
      </c>
      <c r="D408" s="79" t="s">
        <v>329</v>
      </c>
      <c r="E408" s="79"/>
      <c r="F408" s="81">
        <f>SUM(F409:F412)</f>
        <v>494.79999999999995</v>
      </c>
      <c r="G408" s="81">
        <f>SUM(G409:G412)</f>
        <v>494.79999999999995</v>
      </c>
    </row>
    <row r="409" spans="1:7" ht="25.5" x14ac:dyDescent="0.2">
      <c r="A409" s="35" t="s">
        <v>121</v>
      </c>
      <c r="B409" s="6" t="s">
        <v>26</v>
      </c>
      <c r="C409" s="6" t="s">
        <v>25</v>
      </c>
      <c r="D409" s="6" t="s">
        <v>329</v>
      </c>
      <c r="E409" s="6" t="s">
        <v>63</v>
      </c>
      <c r="F409" s="80">
        <v>209.01599999999999</v>
      </c>
      <c r="G409" s="80">
        <v>209.01599999999999</v>
      </c>
    </row>
    <row r="410" spans="1:7" ht="38.25" x14ac:dyDescent="0.2">
      <c r="A410" s="35" t="s">
        <v>122</v>
      </c>
      <c r="B410" s="6" t="s">
        <v>26</v>
      </c>
      <c r="C410" s="6" t="s">
        <v>25</v>
      </c>
      <c r="D410" s="6" t="s">
        <v>329</v>
      </c>
      <c r="E410" s="6" t="s">
        <v>115</v>
      </c>
      <c r="F410" s="80">
        <v>63.124000000000002</v>
      </c>
      <c r="G410" s="80">
        <v>63.124000000000002</v>
      </c>
    </row>
    <row r="411" spans="1:7" ht="25.5" x14ac:dyDescent="0.2">
      <c r="A411" s="35" t="s">
        <v>66</v>
      </c>
      <c r="B411" s="6" t="s">
        <v>26</v>
      </c>
      <c r="C411" s="6" t="s">
        <v>25</v>
      </c>
      <c r="D411" s="6" t="s">
        <v>329</v>
      </c>
      <c r="E411" s="6" t="s">
        <v>67</v>
      </c>
      <c r="F411" s="80">
        <v>148.44</v>
      </c>
      <c r="G411" s="80">
        <v>148.44</v>
      </c>
    </row>
    <row r="412" spans="1:7" x14ac:dyDescent="0.2">
      <c r="A412" s="14" t="s">
        <v>331</v>
      </c>
      <c r="B412" s="6" t="s">
        <v>26</v>
      </c>
      <c r="C412" s="6" t="s">
        <v>25</v>
      </c>
      <c r="D412" s="6" t="s">
        <v>329</v>
      </c>
      <c r="E412" s="6" t="s">
        <v>330</v>
      </c>
      <c r="F412" s="80">
        <v>74.22</v>
      </c>
      <c r="G412" s="80">
        <v>74.22</v>
      </c>
    </row>
    <row r="413" spans="1:7" x14ac:dyDescent="0.2">
      <c r="A413" s="21" t="s">
        <v>85</v>
      </c>
      <c r="B413" s="10" t="s">
        <v>36</v>
      </c>
      <c r="C413" s="10"/>
      <c r="D413" s="10"/>
      <c r="E413" s="10"/>
      <c r="F413" s="48">
        <f>F414+F433+F425</f>
        <v>36321.674910000002</v>
      </c>
      <c r="G413" s="48">
        <f>G414+G433+G425</f>
        <v>36317.317760000005</v>
      </c>
    </row>
    <row r="414" spans="1:7" x14ac:dyDescent="0.2">
      <c r="A414" s="23" t="s">
        <v>56</v>
      </c>
      <c r="B414" s="9" t="s">
        <v>36</v>
      </c>
      <c r="C414" s="9" t="s">
        <v>19</v>
      </c>
      <c r="D414" s="9"/>
      <c r="E414" s="9"/>
      <c r="F414" s="49">
        <f>F415</f>
        <v>4529</v>
      </c>
      <c r="G414" s="49">
        <f>G415</f>
        <v>4529</v>
      </c>
    </row>
    <row r="415" spans="1:7" ht="38.25" x14ac:dyDescent="0.2">
      <c r="A415" s="34" t="s">
        <v>462</v>
      </c>
      <c r="B415" s="11" t="s">
        <v>36</v>
      </c>
      <c r="C415" s="11" t="s">
        <v>19</v>
      </c>
      <c r="D415" s="11" t="s">
        <v>173</v>
      </c>
      <c r="E415" s="11"/>
      <c r="F415" s="50">
        <f>F420+F416</f>
        <v>4529</v>
      </c>
      <c r="G415" s="50">
        <f>G420+G416</f>
        <v>4529</v>
      </c>
    </row>
    <row r="416" spans="1:7" ht="27" x14ac:dyDescent="0.2">
      <c r="A416" s="41" t="s">
        <v>489</v>
      </c>
      <c r="B416" s="7" t="s">
        <v>36</v>
      </c>
      <c r="C416" s="7" t="s">
        <v>19</v>
      </c>
      <c r="D416" s="72" t="s">
        <v>354</v>
      </c>
      <c r="E416" s="7"/>
      <c r="F416" s="42">
        <f>F418</f>
        <v>500</v>
      </c>
      <c r="G416" s="42">
        <f>G418</f>
        <v>500</v>
      </c>
    </row>
    <row r="417" spans="1:7" ht="25.5" x14ac:dyDescent="0.2">
      <c r="A417" s="24" t="s">
        <v>352</v>
      </c>
      <c r="B417" s="4" t="s">
        <v>36</v>
      </c>
      <c r="C417" s="4" t="s">
        <v>19</v>
      </c>
      <c r="D417" s="66" t="s">
        <v>356</v>
      </c>
      <c r="E417" s="7"/>
      <c r="F417" s="5">
        <f>F418</f>
        <v>500</v>
      </c>
      <c r="G417" s="5">
        <f>G418</f>
        <v>500</v>
      </c>
    </row>
    <row r="418" spans="1:7" ht="25.5" x14ac:dyDescent="0.2">
      <c r="A418" s="24" t="s">
        <v>353</v>
      </c>
      <c r="B418" s="4" t="s">
        <v>36</v>
      </c>
      <c r="C418" s="4" t="s">
        <v>19</v>
      </c>
      <c r="D418" s="66" t="s">
        <v>355</v>
      </c>
      <c r="E418" s="4"/>
      <c r="F418" s="5">
        <f>F419</f>
        <v>500</v>
      </c>
      <c r="G418" s="5">
        <f>G419</f>
        <v>500</v>
      </c>
    </row>
    <row r="419" spans="1:7" ht="25.5" x14ac:dyDescent="0.2">
      <c r="A419" s="15" t="s">
        <v>93</v>
      </c>
      <c r="B419" s="6" t="s">
        <v>36</v>
      </c>
      <c r="C419" s="6" t="s">
        <v>19</v>
      </c>
      <c r="D419" s="67" t="s">
        <v>355</v>
      </c>
      <c r="E419" s="6" t="s">
        <v>67</v>
      </c>
      <c r="F419" s="20">
        <v>500</v>
      </c>
      <c r="G419" s="20">
        <v>500</v>
      </c>
    </row>
    <row r="420" spans="1:7" ht="27" x14ac:dyDescent="0.2">
      <c r="A420" s="41" t="s">
        <v>490</v>
      </c>
      <c r="B420" s="7" t="s">
        <v>36</v>
      </c>
      <c r="C420" s="7" t="s">
        <v>19</v>
      </c>
      <c r="D420" s="72" t="s">
        <v>395</v>
      </c>
      <c r="E420" s="7"/>
      <c r="F420" s="42">
        <f>F421</f>
        <v>4029</v>
      </c>
      <c r="G420" s="42">
        <f>G421</f>
        <v>4029</v>
      </c>
    </row>
    <row r="421" spans="1:7" ht="25.5" x14ac:dyDescent="0.2">
      <c r="A421" s="16" t="s">
        <v>396</v>
      </c>
      <c r="B421" s="4" t="s">
        <v>36</v>
      </c>
      <c r="C421" s="4" t="s">
        <v>19</v>
      </c>
      <c r="D421" s="66" t="s">
        <v>261</v>
      </c>
      <c r="E421" s="4"/>
      <c r="F421" s="5">
        <f>F422</f>
        <v>4029</v>
      </c>
      <c r="G421" s="5">
        <f>G422</f>
        <v>4029</v>
      </c>
    </row>
    <row r="422" spans="1:7" ht="25.5" x14ac:dyDescent="0.2">
      <c r="A422" s="16" t="s">
        <v>341</v>
      </c>
      <c r="B422" s="4" t="s">
        <v>36</v>
      </c>
      <c r="C422" s="4" t="s">
        <v>19</v>
      </c>
      <c r="D422" s="66" t="s">
        <v>262</v>
      </c>
      <c r="E422" s="4"/>
      <c r="F422" s="5">
        <f>F423+F424</f>
        <v>4029</v>
      </c>
      <c r="G422" s="5">
        <f>G423+G424</f>
        <v>4029</v>
      </c>
    </row>
    <row r="423" spans="1:7" x14ac:dyDescent="0.2">
      <c r="A423" s="15" t="s">
        <v>214</v>
      </c>
      <c r="B423" s="6" t="s">
        <v>36</v>
      </c>
      <c r="C423" s="6" t="s">
        <v>19</v>
      </c>
      <c r="D423" s="67" t="s">
        <v>262</v>
      </c>
      <c r="E423" s="6" t="s">
        <v>95</v>
      </c>
      <c r="F423" s="80">
        <f>859.2+2243.8-8.5</f>
        <v>3094.5</v>
      </c>
      <c r="G423" s="80">
        <f>859.2+2243.8-8.5</f>
        <v>3094.5</v>
      </c>
    </row>
    <row r="424" spans="1:7" ht="38.25" x14ac:dyDescent="0.2">
      <c r="A424" s="15" t="s">
        <v>215</v>
      </c>
      <c r="B424" s="6" t="s">
        <v>36</v>
      </c>
      <c r="C424" s="6" t="s">
        <v>19</v>
      </c>
      <c r="D424" s="67" t="s">
        <v>262</v>
      </c>
      <c r="E424" s="6" t="s">
        <v>139</v>
      </c>
      <c r="F424" s="80">
        <f>259.5+677.6-2.6</f>
        <v>934.5</v>
      </c>
      <c r="G424" s="80">
        <f>259.5+677.6-2.6</f>
        <v>934.5</v>
      </c>
    </row>
    <row r="425" spans="1:7" s="40" customFormat="1" x14ac:dyDescent="0.2">
      <c r="A425" s="23" t="s">
        <v>6</v>
      </c>
      <c r="B425" s="9" t="s">
        <v>36</v>
      </c>
      <c r="C425" s="9" t="s">
        <v>32</v>
      </c>
      <c r="D425" s="9"/>
      <c r="E425" s="9"/>
      <c r="F425" s="49">
        <f t="shared" ref="F425:G427" si="26">F426</f>
        <v>24465.474909999997</v>
      </c>
      <c r="G425" s="49">
        <f t="shared" si="26"/>
        <v>24461.117760000001</v>
      </c>
    </row>
    <row r="426" spans="1:7" ht="38.25" x14ac:dyDescent="0.2">
      <c r="A426" s="34" t="s">
        <v>462</v>
      </c>
      <c r="B426" s="11" t="s">
        <v>36</v>
      </c>
      <c r="C426" s="11" t="s">
        <v>32</v>
      </c>
      <c r="D426" s="11" t="s">
        <v>173</v>
      </c>
      <c r="E426" s="11"/>
      <c r="F426" s="50">
        <f t="shared" si="26"/>
        <v>24465.474909999997</v>
      </c>
      <c r="G426" s="50">
        <f t="shared" si="26"/>
        <v>24461.117760000001</v>
      </c>
    </row>
    <row r="427" spans="1:7" ht="27" x14ac:dyDescent="0.2">
      <c r="A427" s="31" t="s">
        <v>491</v>
      </c>
      <c r="B427" s="7" t="s">
        <v>36</v>
      </c>
      <c r="C427" s="7" t="s">
        <v>32</v>
      </c>
      <c r="D427" s="7" t="s">
        <v>273</v>
      </c>
      <c r="E427" s="7"/>
      <c r="F427" s="42">
        <f t="shared" si="26"/>
        <v>24465.474909999997</v>
      </c>
      <c r="G427" s="42">
        <f t="shared" si="26"/>
        <v>24461.117760000001</v>
      </c>
    </row>
    <row r="428" spans="1:7" ht="25.5" x14ac:dyDescent="0.2">
      <c r="A428" s="24" t="s">
        <v>263</v>
      </c>
      <c r="B428" s="4" t="s">
        <v>36</v>
      </c>
      <c r="C428" s="4" t="s">
        <v>32</v>
      </c>
      <c r="D428" s="4" t="s">
        <v>264</v>
      </c>
      <c r="E428" s="4"/>
      <c r="F428" s="5">
        <f>F429+F431</f>
        <v>24465.474909999997</v>
      </c>
      <c r="G428" s="5">
        <f>G429+G431</f>
        <v>24461.117760000001</v>
      </c>
    </row>
    <row r="429" spans="1:7" ht="25.5" x14ac:dyDescent="0.2">
      <c r="A429" s="24" t="s">
        <v>274</v>
      </c>
      <c r="B429" s="4" t="s">
        <v>36</v>
      </c>
      <c r="C429" s="4" t="s">
        <v>32</v>
      </c>
      <c r="D429" s="4" t="s">
        <v>265</v>
      </c>
      <c r="E429" s="4"/>
      <c r="F429" s="5">
        <f>F430</f>
        <v>11043.574909999999</v>
      </c>
      <c r="G429" s="5">
        <f>G430</f>
        <v>11039.21776</v>
      </c>
    </row>
    <row r="430" spans="1:7" ht="51" x14ac:dyDescent="0.2">
      <c r="A430" s="25" t="s">
        <v>78</v>
      </c>
      <c r="B430" s="6" t="s">
        <v>36</v>
      </c>
      <c r="C430" s="6" t="s">
        <v>32</v>
      </c>
      <c r="D430" s="6" t="s">
        <v>265</v>
      </c>
      <c r="E430" s="6" t="s">
        <v>84</v>
      </c>
      <c r="F430" s="80">
        <f>21385-10000-341.42509</f>
        <v>11043.574909999999</v>
      </c>
      <c r="G430" s="80">
        <f>21385-10000-345.78224</f>
        <v>11039.21776</v>
      </c>
    </row>
    <row r="431" spans="1:7" ht="25.5" x14ac:dyDescent="0.2">
      <c r="A431" s="24" t="s">
        <v>342</v>
      </c>
      <c r="B431" s="4" t="s">
        <v>36</v>
      </c>
      <c r="C431" s="4" t="s">
        <v>32</v>
      </c>
      <c r="D431" s="4" t="s">
        <v>279</v>
      </c>
      <c r="E431" s="4"/>
      <c r="F431" s="81">
        <f>F432</f>
        <v>13421.9</v>
      </c>
      <c r="G431" s="81">
        <f>G432</f>
        <v>13421.9</v>
      </c>
    </row>
    <row r="432" spans="1:7" s="39" customFormat="1" ht="51" x14ac:dyDescent="0.2">
      <c r="A432" s="25" t="s">
        <v>78</v>
      </c>
      <c r="B432" s="6" t="s">
        <v>36</v>
      </c>
      <c r="C432" s="6" t="s">
        <v>32</v>
      </c>
      <c r="D432" s="6" t="s">
        <v>279</v>
      </c>
      <c r="E432" s="6" t="s">
        <v>84</v>
      </c>
      <c r="F432" s="80">
        <v>13421.9</v>
      </c>
      <c r="G432" s="80">
        <v>13421.9</v>
      </c>
    </row>
    <row r="433" spans="1:7" x14ac:dyDescent="0.2">
      <c r="A433" s="23" t="s">
        <v>5</v>
      </c>
      <c r="B433" s="9" t="s">
        <v>36</v>
      </c>
      <c r="C433" s="9" t="s">
        <v>22</v>
      </c>
      <c r="D433" s="9"/>
      <c r="E433" s="9"/>
      <c r="F433" s="49">
        <f>F435</f>
        <v>7327.2</v>
      </c>
      <c r="G433" s="49">
        <f>G435</f>
        <v>7327.2</v>
      </c>
    </row>
    <row r="434" spans="1:7" ht="38.25" x14ac:dyDescent="0.2">
      <c r="A434" s="18" t="s">
        <v>392</v>
      </c>
      <c r="B434" s="11" t="s">
        <v>36</v>
      </c>
      <c r="C434" s="11" t="s">
        <v>22</v>
      </c>
      <c r="D434" s="11"/>
      <c r="E434" s="11"/>
      <c r="F434" s="50">
        <f>F435</f>
        <v>7327.2</v>
      </c>
      <c r="G434" s="50">
        <f>G435</f>
        <v>7327.2</v>
      </c>
    </row>
    <row r="435" spans="1:7" s="39" customFormat="1" ht="27" x14ac:dyDescent="0.2">
      <c r="A435" s="31" t="s">
        <v>479</v>
      </c>
      <c r="B435" s="7" t="s">
        <v>36</v>
      </c>
      <c r="C435" s="7" t="s">
        <v>22</v>
      </c>
      <c r="D435" s="7" t="s">
        <v>275</v>
      </c>
      <c r="E435" s="7"/>
      <c r="F435" s="42">
        <f>F436</f>
        <v>7327.2</v>
      </c>
      <c r="G435" s="42">
        <f>G436</f>
        <v>7327.2</v>
      </c>
    </row>
    <row r="436" spans="1:7" ht="38.25" x14ac:dyDescent="0.2">
      <c r="A436" s="30" t="s">
        <v>327</v>
      </c>
      <c r="B436" s="4" t="s">
        <v>36</v>
      </c>
      <c r="C436" s="4" t="s">
        <v>22</v>
      </c>
      <c r="D436" s="4" t="s">
        <v>340</v>
      </c>
      <c r="E436" s="4"/>
      <c r="F436" s="5">
        <f>F437+F440</f>
        <v>7327.2</v>
      </c>
      <c r="G436" s="5">
        <f>G437+G440</f>
        <v>7327.2</v>
      </c>
    </row>
    <row r="437" spans="1:7" ht="25.5" x14ac:dyDescent="0.2">
      <c r="A437" s="24" t="s">
        <v>92</v>
      </c>
      <c r="B437" s="4" t="s">
        <v>36</v>
      </c>
      <c r="C437" s="4" t="s">
        <v>22</v>
      </c>
      <c r="D437" s="4" t="s">
        <v>267</v>
      </c>
      <c r="E437" s="4"/>
      <c r="F437" s="5">
        <f>F438+F439</f>
        <v>1434</v>
      </c>
      <c r="G437" s="5">
        <f>G438+G439</f>
        <v>1434</v>
      </c>
    </row>
    <row r="438" spans="1:7" ht="25.5" x14ac:dyDescent="0.2">
      <c r="A438" s="14" t="s">
        <v>121</v>
      </c>
      <c r="B438" s="6" t="s">
        <v>36</v>
      </c>
      <c r="C438" s="6" t="s">
        <v>22</v>
      </c>
      <c r="D438" s="6" t="s">
        <v>267</v>
      </c>
      <c r="E438" s="6" t="s">
        <v>63</v>
      </c>
      <c r="F438" s="20">
        <v>1101.4000000000001</v>
      </c>
      <c r="G438" s="20">
        <v>1101.4000000000001</v>
      </c>
    </row>
    <row r="439" spans="1:7" ht="38.25" x14ac:dyDescent="0.2">
      <c r="A439" s="14" t="s">
        <v>122</v>
      </c>
      <c r="B439" s="6" t="s">
        <v>36</v>
      </c>
      <c r="C439" s="6" t="s">
        <v>22</v>
      </c>
      <c r="D439" s="6" t="s">
        <v>267</v>
      </c>
      <c r="E439" s="6" t="s">
        <v>115</v>
      </c>
      <c r="F439" s="20">
        <v>332.6</v>
      </c>
      <c r="G439" s="20">
        <v>332.6</v>
      </c>
    </row>
    <row r="440" spans="1:7" ht="25.5" x14ac:dyDescent="0.2">
      <c r="A440" s="29" t="s">
        <v>4</v>
      </c>
      <c r="B440" s="4" t="s">
        <v>36</v>
      </c>
      <c r="C440" s="4" t="s">
        <v>22</v>
      </c>
      <c r="D440" s="4" t="s">
        <v>268</v>
      </c>
      <c r="E440" s="4"/>
      <c r="F440" s="81">
        <f>SUM(F441:F445)</f>
        <v>5893.2</v>
      </c>
      <c r="G440" s="81">
        <f>SUM(G441:G445)</f>
        <v>5893.2</v>
      </c>
    </row>
    <row r="441" spans="1:7" x14ac:dyDescent="0.2">
      <c r="A441" s="37" t="s">
        <v>213</v>
      </c>
      <c r="B441" s="6" t="s">
        <v>36</v>
      </c>
      <c r="C441" s="6" t="s">
        <v>22</v>
      </c>
      <c r="D441" s="6" t="s">
        <v>268</v>
      </c>
      <c r="E441" s="6" t="s">
        <v>95</v>
      </c>
      <c r="F441" s="80">
        <v>3946.4</v>
      </c>
      <c r="G441" s="80">
        <v>3946.4</v>
      </c>
    </row>
    <row r="442" spans="1:7" ht="38.25" x14ac:dyDescent="0.2">
      <c r="A442" s="14" t="s">
        <v>215</v>
      </c>
      <c r="B442" s="6" t="s">
        <v>36</v>
      </c>
      <c r="C442" s="6" t="s">
        <v>22</v>
      </c>
      <c r="D442" s="6" t="s">
        <v>268</v>
      </c>
      <c r="E442" s="6" t="s">
        <v>139</v>
      </c>
      <c r="F442" s="80">
        <v>1191.8</v>
      </c>
      <c r="G442" s="80">
        <v>1191.8</v>
      </c>
    </row>
    <row r="443" spans="1:7" ht="25.5" x14ac:dyDescent="0.2">
      <c r="A443" s="15" t="s">
        <v>400</v>
      </c>
      <c r="B443" s="6" t="s">
        <v>36</v>
      </c>
      <c r="C443" s="6" t="s">
        <v>22</v>
      </c>
      <c r="D443" s="6" t="s">
        <v>268</v>
      </c>
      <c r="E443" s="6" t="s">
        <v>65</v>
      </c>
      <c r="F443" s="80">
        <v>250</v>
      </c>
      <c r="G443" s="80">
        <v>250</v>
      </c>
    </row>
    <row r="444" spans="1:7" ht="25.5" x14ac:dyDescent="0.2">
      <c r="A444" s="15" t="s">
        <v>93</v>
      </c>
      <c r="B444" s="6" t="s">
        <v>36</v>
      </c>
      <c r="C444" s="6" t="s">
        <v>22</v>
      </c>
      <c r="D444" s="6" t="s">
        <v>268</v>
      </c>
      <c r="E444" s="6" t="s">
        <v>67</v>
      </c>
      <c r="F444" s="80">
        <v>500</v>
      </c>
      <c r="G444" s="80">
        <v>500</v>
      </c>
    </row>
    <row r="445" spans="1:7" ht="13.5" customHeight="1" x14ac:dyDescent="0.2">
      <c r="A445" s="14" t="s">
        <v>140</v>
      </c>
      <c r="B445" s="6" t="s">
        <v>36</v>
      </c>
      <c r="C445" s="6" t="s">
        <v>22</v>
      </c>
      <c r="D445" s="6" t="s">
        <v>268</v>
      </c>
      <c r="E445" s="6" t="s">
        <v>70</v>
      </c>
      <c r="F445" s="20">
        <v>5</v>
      </c>
      <c r="G445" s="20">
        <v>5</v>
      </c>
    </row>
    <row r="446" spans="1:7" s="58" customFormat="1" ht="42" customHeight="1" x14ac:dyDescent="0.2">
      <c r="A446" s="21" t="s">
        <v>454</v>
      </c>
      <c r="B446" s="10" t="s">
        <v>38</v>
      </c>
      <c r="C446" s="10"/>
      <c r="D446" s="10"/>
      <c r="E446" s="10"/>
      <c r="F446" s="48">
        <f t="shared" ref="F446:G449" si="27">F447</f>
        <v>24188.5</v>
      </c>
      <c r="G446" s="48">
        <f t="shared" si="27"/>
        <v>24584</v>
      </c>
    </row>
    <row r="447" spans="1:7" s="58" customFormat="1" ht="38.25" x14ac:dyDescent="0.2">
      <c r="A447" s="23" t="s">
        <v>54</v>
      </c>
      <c r="B447" s="9" t="s">
        <v>38</v>
      </c>
      <c r="C447" s="9" t="s">
        <v>18</v>
      </c>
      <c r="D447" s="9"/>
      <c r="E447" s="9"/>
      <c r="F447" s="49">
        <f t="shared" si="27"/>
        <v>24188.5</v>
      </c>
      <c r="G447" s="49">
        <f t="shared" si="27"/>
        <v>24584</v>
      </c>
    </row>
    <row r="448" spans="1:7" ht="25.5" x14ac:dyDescent="0.2">
      <c r="A448" s="38" t="s">
        <v>456</v>
      </c>
      <c r="B448" s="11" t="s">
        <v>38</v>
      </c>
      <c r="C448" s="11" t="s">
        <v>18</v>
      </c>
      <c r="D448" s="11" t="s">
        <v>117</v>
      </c>
      <c r="E448" s="11"/>
      <c r="F448" s="50">
        <f t="shared" si="27"/>
        <v>24188.5</v>
      </c>
      <c r="G448" s="50">
        <f t="shared" si="27"/>
        <v>24584</v>
      </c>
    </row>
    <row r="449" spans="1:9" ht="27" x14ac:dyDescent="0.2">
      <c r="A449" s="31" t="s">
        <v>284</v>
      </c>
      <c r="B449" s="7" t="s">
        <v>38</v>
      </c>
      <c r="C449" s="7" t="s">
        <v>18</v>
      </c>
      <c r="D449" s="7" t="s">
        <v>124</v>
      </c>
      <c r="E449" s="7"/>
      <c r="F449" s="42">
        <f t="shared" si="27"/>
        <v>24188.5</v>
      </c>
      <c r="G449" s="42">
        <f t="shared" si="27"/>
        <v>24584</v>
      </c>
    </row>
    <row r="450" spans="1:9" s="58" customFormat="1" ht="25.5" x14ac:dyDescent="0.2">
      <c r="A450" s="16" t="s">
        <v>125</v>
      </c>
      <c r="B450" s="4" t="s">
        <v>38</v>
      </c>
      <c r="C450" s="4" t="s">
        <v>18</v>
      </c>
      <c r="D450" s="4" t="s">
        <v>126</v>
      </c>
      <c r="E450" s="4"/>
      <c r="F450" s="5">
        <f>F451+F453</f>
        <v>24188.5</v>
      </c>
      <c r="G450" s="5">
        <f>G451+G453</f>
        <v>24584</v>
      </c>
    </row>
    <row r="451" spans="1:9" s="58" customFormat="1" ht="25.5" x14ac:dyDescent="0.2">
      <c r="A451" s="16" t="s">
        <v>42</v>
      </c>
      <c r="B451" s="4" t="s">
        <v>38</v>
      </c>
      <c r="C451" s="4" t="s">
        <v>18</v>
      </c>
      <c r="D451" s="4" t="s">
        <v>131</v>
      </c>
      <c r="E451" s="4"/>
      <c r="F451" s="5">
        <f>SUM(F452)</f>
        <v>24053.7</v>
      </c>
      <c r="G451" s="5">
        <f>SUM(G452)</f>
        <v>24443.9</v>
      </c>
    </row>
    <row r="452" spans="1:9" s="58" customFormat="1" x14ac:dyDescent="0.2">
      <c r="A452" s="19" t="s">
        <v>98</v>
      </c>
      <c r="B452" s="6" t="s">
        <v>38</v>
      </c>
      <c r="C452" s="6" t="s">
        <v>18</v>
      </c>
      <c r="D452" s="6" t="s">
        <v>131</v>
      </c>
      <c r="E452" s="6" t="s">
        <v>86</v>
      </c>
      <c r="F452" s="80">
        <v>24053.7</v>
      </c>
      <c r="G452" s="80">
        <v>24443.9</v>
      </c>
    </row>
    <row r="453" spans="1:9" s="58" customFormat="1" ht="25.5" x14ac:dyDescent="0.2">
      <c r="A453" s="28" t="s">
        <v>97</v>
      </c>
      <c r="B453" s="4" t="s">
        <v>38</v>
      </c>
      <c r="C453" s="4" t="s">
        <v>18</v>
      </c>
      <c r="D453" s="4" t="s">
        <v>127</v>
      </c>
      <c r="E453" s="4"/>
      <c r="F453" s="81">
        <f>SUM(F454)</f>
        <v>134.80000000000001</v>
      </c>
      <c r="G453" s="81">
        <f>SUM(G454)</f>
        <v>140.1</v>
      </c>
    </row>
    <row r="454" spans="1:9" s="58" customFormat="1" x14ac:dyDescent="0.2">
      <c r="A454" s="19" t="s">
        <v>98</v>
      </c>
      <c r="B454" s="6" t="s">
        <v>38</v>
      </c>
      <c r="C454" s="6" t="s">
        <v>18</v>
      </c>
      <c r="D454" s="6" t="s">
        <v>127</v>
      </c>
      <c r="E454" s="6" t="s">
        <v>86</v>
      </c>
      <c r="F454" s="80">
        <v>134.80000000000001</v>
      </c>
      <c r="G454" s="80">
        <v>140.1</v>
      </c>
    </row>
    <row r="455" spans="1:9" s="40" customFormat="1" ht="13.5" x14ac:dyDescent="0.2">
      <c r="A455" s="18" t="s">
        <v>39</v>
      </c>
      <c r="B455" s="11"/>
      <c r="C455" s="11"/>
      <c r="D455" s="7"/>
      <c r="E455" s="11"/>
      <c r="F455" s="96">
        <v>10157.704</v>
      </c>
      <c r="G455" s="96">
        <v>20730.062999999998</v>
      </c>
    </row>
    <row r="456" spans="1:9" x14ac:dyDescent="0.2">
      <c r="A456" s="47" t="s">
        <v>35</v>
      </c>
      <c r="B456" s="56"/>
      <c r="C456" s="56"/>
      <c r="D456" s="56"/>
      <c r="E456" s="56"/>
      <c r="F456" s="86">
        <f>F18+F136+F142+F195+F218+F333+F372+F413+F446+F455+F213</f>
        <v>2091982.9376899996</v>
      </c>
      <c r="G456" s="86">
        <f>G18+G136+G142+G195+G218+G333+G372+G413+G446+G455+G213</f>
        <v>1371677.3933599999</v>
      </c>
      <c r="H456" s="91"/>
    </row>
    <row r="457" spans="1:9" x14ac:dyDescent="0.2">
      <c r="F457" s="13"/>
      <c r="G457" s="13"/>
    </row>
    <row r="458" spans="1:9" x14ac:dyDescent="0.2">
      <c r="E458" s="87"/>
      <c r="F458" s="87">
        <v>2081825.2336899999</v>
      </c>
      <c r="G458" s="87">
        <v>1350947.33036</v>
      </c>
      <c r="H458" s="91"/>
      <c r="I458" s="91"/>
    </row>
    <row r="459" spans="1:9" x14ac:dyDescent="0.2">
      <c r="E459" s="13"/>
      <c r="F459" s="88"/>
      <c r="G459" s="88"/>
    </row>
    <row r="460" spans="1:9" x14ac:dyDescent="0.2">
      <c r="D460" s="13"/>
      <c r="F460" s="74">
        <f>F456-F458</f>
        <v>10157.703999999678</v>
      </c>
      <c r="G460" s="74">
        <f>G456-G458</f>
        <v>20730.062999999849</v>
      </c>
    </row>
    <row r="461" spans="1:9" x14ac:dyDescent="0.2">
      <c r="D461" s="13"/>
      <c r="F461" s="74"/>
      <c r="G461" s="74"/>
    </row>
    <row r="462" spans="1:9" x14ac:dyDescent="0.2">
      <c r="F462" s="106"/>
      <c r="G462" s="106"/>
    </row>
    <row r="463" spans="1:9" x14ac:dyDescent="0.2">
      <c r="F463" s="107"/>
      <c r="G463" s="107"/>
    </row>
    <row r="464" spans="1:9" x14ac:dyDescent="0.2">
      <c r="F464" s="13"/>
      <c r="G464" s="13"/>
    </row>
    <row r="465" spans="6:7" x14ac:dyDescent="0.2">
      <c r="F465" s="13"/>
      <c r="G465" s="13"/>
    </row>
    <row r="467" spans="6:7" x14ac:dyDescent="0.2">
      <c r="F467" s="75"/>
      <c r="G467" s="75"/>
    </row>
    <row r="468" spans="6:7" x14ac:dyDescent="0.2">
      <c r="F468" s="92"/>
      <c r="G468" s="92"/>
    </row>
    <row r="470" spans="6:7" x14ac:dyDescent="0.2">
      <c r="F470" s="74"/>
      <c r="G470" s="74"/>
    </row>
    <row r="472" spans="6:7" x14ac:dyDescent="0.2">
      <c r="F472" s="91"/>
      <c r="G472" s="91"/>
    </row>
  </sheetData>
  <autoFilter ref="A17:G465" xr:uid="{00000000-0009-0000-0000-000000000000}"/>
  <customSheetViews>
    <customSheetView guid="{E97D42D2-9E10-4ADB-8FB1-0860F6F503F4}" showPageBreaks="1" printArea="1" showAutoFilter="1">
      <selection activeCell="I13" sqref="I1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65" xr:uid="{00000000-0009-0000-0000-000000000000}"/>
    </customSheetView>
    <customSheetView guid="{A9EB50DC-BC7E-40F0-8A51-0BBE6B12FA5A}" showPageBreaks="1" printArea="1" showAutoFilter="1" view="pageBreakPreview" topLeftCell="A163">
      <selection activeCell="F178" sqref="F178:G17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65" xr:uid="{C6EF571E-0341-466D-BB37-5FC213653940}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3"/>
      <headerFooter alignWithMargins="0"/>
      <autoFilter ref="A17:G445" xr:uid="{181858DF-C894-4860-976D-5573B978089C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7:G454" xr:uid="{B4DF2C01-50B3-4F16-8372-5247F890B74A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2025-06-02T02:29:14Z</cp:lastPrinted>
  <dcterms:created xsi:type="dcterms:W3CDTF">2004-12-22T00:45:04Z</dcterms:created>
  <dcterms:modified xsi:type="dcterms:W3CDTF">2025-06-05T00:13:57Z</dcterms:modified>
</cp:coreProperties>
</file>